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energynorway.sharepoint.com/sites/BWE_Finance/Companies/Corporate/Consolidations/Monthly reporting/2024/Q3/"/>
    </mc:Choice>
  </mc:AlternateContent>
  <xr:revisionPtr revIDLastSave="1656" documentId="14_{0D63F430-2849-42B3-AF9F-7CC07E32ED7C}" xr6:coauthVersionLast="47" xr6:coauthVersionMax="47" xr10:uidLastSave="{EDFEAF93-6296-435F-A8A2-D668AA256876}"/>
  <bookViews>
    <workbookView xWindow="-120" yWindow="-120" windowWidth="29040" windowHeight="15720" tabRatio="939" xr2:uid="{00000000-000D-0000-FFFF-FFFF00000000}"/>
  </bookViews>
  <sheets>
    <sheet name="Income statement" sheetId="9" r:id="rId1"/>
    <sheet name="Balance sheet" sheetId="8" r:id="rId2"/>
    <sheet name="Cashflow" sheetId="7" r:id="rId3"/>
    <sheet name="Password" sheetId="10" state="hidden" r:id="rId4"/>
  </sheets>
  <definedNames>
    <definedName name="_xlnm.Print_Area" localSheetId="1">'Balance sheet'!$A$2:$N$46</definedName>
    <definedName name="_xlnm.Print_Area" localSheetId="2">Cashflow!$A$2:$Q$37</definedName>
    <definedName name="_xlnm.Print_Area" localSheetId="0">'Income statement'!$A$2:$Q$31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8" l="1"/>
  <c r="V11" i="8"/>
  <c r="T11" i="8"/>
  <c r="P11" i="8"/>
  <c r="K11" i="8"/>
  <c r="J11" i="8"/>
  <c r="I11" i="8"/>
  <c r="H11" i="8"/>
  <c r="AA27" i="9"/>
  <c r="AA35" i="7" l="1"/>
  <c r="AA21" i="7"/>
  <c r="T41" i="8" l="1"/>
  <c r="T34" i="8"/>
  <c r="T25" i="8"/>
  <c r="T22" i="8"/>
  <c r="T18" i="8"/>
  <c r="T43" i="8" l="1"/>
  <c r="T45" i="8" s="1"/>
  <c r="T20" i="8"/>
  <c r="S41" i="8"/>
  <c r="AA31" i="7" l="1"/>
  <c r="V34" i="8"/>
  <c r="V25" i="8"/>
  <c r="V22" i="8"/>
  <c r="V18" i="8"/>
  <c r="AA16" i="9"/>
  <c r="AA5" i="9"/>
  <c r="X20" i="9"/>
  <c r="X13" i="7"/>
  <c r="X11" i="7"/>
  <c r="X10" i="7"/>
  <c r="X8" i="7"/>
  <c r="X7" i="7"/>
  <c r="X6" i="7"/>
  <c r="X5" i="7"/>
  <c r="X4" i="7"/>
  <c r="X28" i="7"/>
  <c r="X29" i="7"/>
  <c r="S7" i="8"/>
  <c r="S11" i="8" s="1"/>
  <c r="W31" i="7"/>
  <c r="W21" i="7"/>
  <c r="X27" i="7"/>
  <c r="X26" i="7"/>
  <c r="X25" i="7"/>
  <c r="X24" i="7"/>
  <c r="X23" i="7"/>
  <c r="X20" i="7"/>
  <c r="X19" i="7"/>
  <c r="AA11" i="9" l="1"/>
  <c r="V43" i="8"/>
  <c r="V45" i="8" s="1"/>
  <c r="V20" i="8"/>
  <c r="X15" i="9"/>
  <c r="W15" i="9" s="1"/>
  <c r="X4" i="9"/>
  <c r="W5" i="9"/>
  <c r="W11" i="9" s="1"/>
  <c r="W14" i="9"/>
  <c r="X13" i="9"/>
  <c r="X10" i="9"/>
  <c r="X9" i="9"/>
  <c r="X8" i="9"/>
  <c r="X7" i="9"/>
  <c r="X3" i="9"/>
  <c r="X16" i="9" l="1"/>
  <c r="AA18" i="9"/>
  <c r="W16" i="9"/>
  <c r="W18" i="9" s="1"/>
  <c r="W21" i="9" s="1"/>
  <c r="W23" i="9" s="1"/>
  <c r="AA21" i="9" l="1"/>
  <c r="AA3" i="7"/>
  <c r="AA14" i="7" s="1"/>
  <c r="AA23" i="9"/>
  <c r="W35" i="7"/>
  <c r="AA33" i="7" l="1"/>
  <c r="AA26" i="9"/>
  <c r="S25" i="8"/>
  <c r="L30" i="8" l="1"/>
  <c r="L34" i="8" s="1"/>
  <c r="L43" i="8" s="1"/>
  <c r="L45" i="8" s="1"/>
  <c r="L5" i="8"/>
  <c r="M30" i="8"/>
  <c r="M34" i="8" s="1"/>
  <c r="M43" i="8" s="1"/>
  <c r="M45" i="8" s="1"/>
  <c r="M5" i="8"/>
  <c r="N30" i="8"/>
  <c r="N5" i="8"/>
  <c r="N11" i="8" s="1"/>
  <c r="O30" i="8"/>
  <c r="O5" i="8"/>
  <c r="O11" i="8" s="1"/>
  <c r="X31" i="7"/>
  <c r="X21" i="7"/>
  <c r="L11" i="8" l="1"/>
  <c r="L20" i="8" s="1"/>
  <c r="M11" i="8"/>
  <c r="M20" i="8" s="1"/>
  <c r="S34" i="8"/>
  <c r="S22" i="8"/>
  <c r="S18" i="8"/>
  <c r="X5" i="9"/>
  <c r="X11" i="9" s="1"/>
  <c r="T31" i="7"/>
  <c r="T21" i="7"/>
  <c r="P41" i="8"/>
  <c r="P34" i="8"/>
  <c r="P25" i="8"/>
  <c r="P22" i="8"/>
  <c r="P18" i="8"/>
  <c r="T16" i="9"/>
  <c r="T5" i="9"/>
  <c r="T11" i="9" s="1"/>
  <c r="S43" i="8" l="1"/>
  <c r="S45" i="8" s="1"/>
  <c r="S20" i="8"/>
  <c r="X18" i="9"/>
  <c r="T18" i="9"/>
  <c r="T21" i="9" s="1"/>
  <c r="T23" i="9" s="1"/>
  <c r="P43" i="8"/>
  <c r="P45" i="8" s="1"/>
  <c r="P20" i="8"/>
  <c r="X21" i="9" l="1"/>
  <c r="X23" i="9" s="1"/>
  <c r="T26" i="9"/>
  <c r="T27" i="9"/>
  <c r="T3" i="7"/>
  <c r="N27" i="7"/>
  <c r="T14" i="7" l="1"/>
  <c r="T33" i="7" s="1"/>
  <c r="X3" i="7"/>
  <c r="R15" i="9"/>
  <c r="S15" i="9" s="1"/>
  <c r="S30" i="7"/>
  <c r="S26" i="7"/>
  <c r="S25" i="7"/>
  <c r="S24" i="7"/>
  <c r="S23" i="7"/>
  <c r="S19" i="7"/>
  <c r="S18" i="7"/>
  <c r="S11" i="7"/>
  <c r="S10" i="7"/>
  <c r="S8" i="7"/>
  <c r="S6" i="7"/>
  <c r="S5" i="7"/>
  <c r="R31" i="7"/>
  <c r="R21" i="7"/>
  <c r="S20" i="9"/>
  <c r="S14" i="9"/>
  <c r="S13" i="9"/>
  <c r="S10" i="9"/>
  <c r="S9" i="9"/>
  <c r="S8" i="9"/>
  <c r="S7" i="9"/>
  <c r="S4" i="9"/>
  <c r="S3" i="9"/>
  <c r="R5" i="9"/>
  <c r="R11" i="9" s="1"/>
  <c r="O41" i="8"/>
  <c r="O34" i="8"/>
  <c r="O25" i="8"/>
  <c r="O22" i="8"/>
  <c r="O18" i="8"/>
  <c r="Q35" i="7"/>
  <c r="O26" i="9"/>
  <c r="O27" i="9"/>
  <c r="H32" i="7"/>
  <c r="Q21" i="7"/>
  <c r="E41" i="8"/>
  <c r="F41" i="8"/>
  <c r="G41" i="8"/>
  <c r="H41" i="8"/>
  <c r="I41" i="8"/>
  <c r="J41" i="8"/>
  <c r="K41" i="8"/>
  <c r="N41" i="8"/>
  <c r="N34" i="8"/>
  <c r="Q31" i="7"/>
  <c r="N25" i="8"/>
  <c r="N22" i="8"/>
  <c r="N18" i="8"/>
  <c r="Q16" i="9"/>
  <c r="Q5" i="9"/>
  <c r="Q11" i="9" s="1"/>
  <c r="M12" i="7"/>
  <c r="J12" i="7"/>
  <c r="J14" i="7" s="1"/>
  <c r="J26" i="7"/>
  <c r="J31" i="7" s="1"/>
  <c r="M18" i="7"/>
  <c r="M21" i="7" s="1"/>
  <c r="M4" i="7"/>
  <c r="N4" i="7" s="1"/>
  <c r="N5" i="7"/>
  <c r="N6" i="7"/>
  <c r="N30" i="7"/>
  <c r="N28" i="7"/>
  <c r="N25" i="7"/>
  <c r="N24" i="7"/>
  <c r="N23" i="7"/>
  <c r="N20" i="7"/>
  <c r="N19" i="7"/>
  <c r="N13" i="7"/>
  <c r="N11" i="7"/>
  <c r="N10" i="7"/>
  <c r="N9" i="7"/>
  <c r="N8" i="7"/>
  <c r="N7" i="7"/>
  <c r="M31" i="7"/>
  <c r="K34" i="8"/>
  <c r="K25" i="8"/>
  <c r="K22" i="8"/>
  <c r="K18" i="8"/>
  <c r="M27" i="9"/>
  <c r="M4" i="9"/>
  <c r="N4" i="9" s="1"/>
  <c r="N20" i="9"/>
  <c r="N15" i="9"/>
  <c r="N14" i="9"/>
  <c r="N13" i="9"/>
  <c r="N10" i="9"/>
  <c r="N9" i="9"/>
  <c r="N8" i="9"/>
  <c r="N7" i="9"/>
  <c r="N3" i="9"/>
  <c r="M16" i="9"/>
  <c r="L31" i="7"/>
  <c r="L21" i="7"/>
  <c r="L14" i="7"/>
  <c r="J34" i="8"/>
  <c r="J25" i="8"/>
  <c r="J22" i="8"/>
  <c r="J18" i="8"/>
  <c r="K16" i="9"/>
  <c r="K5" i="9"/>
  <c r="K11" i="9" s="1"/>
  <c r="I34" i="8"/>
  <c r="I25" i="8"/>
  <c r="I22" i="8"/>
  <c r="I18" i="8"/>
  <c r="K31" i="7"/>
  <c r="K21" i="7"/>
  <c r="K14" i="7"/>
  <c r="G11" i="8"/>
  <c r="F11" i="8"/>
  <c r="B11" i="8"/>
  <c r="J21" i="7"/>
  <c r="H34" i="8"/>
  <c r="H25" i="8"/>
  <c r="H22" i="8"/>
  <c r="H18" i="8"/>
  <c r="J16" i="9"/>
  <c r="J5" i="9"/>
  <c r="J11" i="9" s="1"/>
  <c r="C26" i="9"/>
  <c r="G26" i="9"/>
  <c r="G27" i="9" s="1"/>
  <c r="F26" i="9"/>
  <c r="F27" i="9"/>
  <c r="H35" i="7"/>
  <c r="I26" i="7"/>
  <c r="I31" i="7" s="1"/>
  <c r="I18" i="7"/>
  <c r="I21" i="7" s="1"/>
  <c r="H21" i="7" s="1"/>
  <c r="G18" i="8"/>
  <c r="G22" i="8"/>
  <c r="G25" i="8"/>
  <c r="G34" i="8"/>
  <c r="H24" i="9"/>
  <c r="H20" i="9"/>
  <c r="H15" i="9"/>
  <c r="H14" i="9"/>
  <c r="H13" i="9"/>
  <c r="H10" i="9"/>
  <c r="H9" i="9"/>
  <c r="H8" i="9"/>
  <c r="H7" i="9"/>
  <c r="H4" i="9"/>
  <c r="H3" i="9"/>
  <c r="H30" i="7"/>
  <c r="H28" i="7"/>
  <c r="H25" i="7"/>
  <c r="H24" i="7"/>
  <c r="H23" i="7"/>
  <c r="H20" i="7"/>
  <c r="H19" i="7"/>
  <c r="H13" i="7"/>
  <c r="H12" i="7"/>
  <c r="H8" i="7"/>
  <c r="H9" i="7"/>
  <c r="H6" i="7"/>
  <c r="H5" i="7"/>
  <c r="H10" i="7"/>
  <c r="H4" i="7"/>
  <c r="H7" i="7"/>
  <c r="I14" i="7"/>
  <c r="D6" i="8"/>
  <c r="D11" i="8" s="1"/>
  <c r="D14" i="8"/>
  <c r="D18" i="8" s="1"/>
  <c r="F18" i="8"/>
  <c r="F22" i="8"/>
  <c r="F25" i="8"/>
  <c r="F34" i="8"/>
  <c r="I16" i="9"/>
  <c r="I5" i="9"/>
  <c r="I11" i="9" s="1"/>
  <c r="I18" i="9" s="1"/>
  <c r="B26" i="9"/>
  <c r="B27" i="9" s="1"/>
  <c r="E31" i="7"/>
  <c r="E21" i="7"/>
  <c r="E3" i="7"/>
  <c r="E14" i="7" s="1"/>
  <c r="C41" i="8"/>
  <c r="B41" i="8"/>
  <c r="D37" i="8"/>
  <c r="D41" i="8" s="1"/>
  <c r="D34" i="8"/>
  <c r="C34" i="8"/>
  <c r="B34" i="8"/>
  <c r="C25" i="8"/>
  <c r="B25" i="8"/>
  <c r="D23" i="8"/>
  <c r="D25" i="8" s="1"/>
  <c r="D22" i="8"/>
  <c r="C22" i="8"/>
  <c r="B22" i="8"/>
  <c r="C18" i="8"/>
  <c r="B18" i="8"/>
  <c r="C5" i="8"/>
  <c r="C11" i="8"/>
  <c r="E16" i="9"/>
  <c r="E5" i="9"/>
  <c r="E11" i="9"/>
  <c r="D15" i="9"/>
  <c r="D16" i="9" s="1"/>
  <c r="C27" i="9"/>
  <c r="D31" i="7"/>
  <c r="D21" i="7"/>
  <c r="D14" i="7"/>
  <c r="D5" i="9"/>
  <c r="D11" i="9" s="1"/>
  <c r="B43" i="8" l="1"/>
  <c r="K18" i="9"/>
  <c r="K21" i="9" s="1"/>
  <c r="S21" i="7"/>
  <c r="Q18" i="9"/>
  <c r="Q3" i="7" s="1"/>
  <c r="Q14" i="7" s="1"/>
  <c r="H16" i="9"/>
  <c r="N12" i="7"/>
  <c r="N18" i="7"/>
  <c r="N26" i="7"/>
  <c r="H11" i="9"/>
  <c r="N16" i="9"/>
  <c r="D18" i="9"/>
  <c r="D21" i="9" s="1"/>
  <c r="D23" i="9" s="1"/>
  <c r="D26" i="9" s="1"/>
  <c r="D27" i="9" s="1"/>
  <c r="E18" i="9"/>
  <c r="E21" i="9" s="1"/>
  <c r="E23" i="9" s="1"/>
  <c r="E26" i="9" s="1"/>
  <c r="E27" i="9" s="1"/>
  <c r="H5" i="9"/>
  <c r="S5" i="9"/>
  <c r="S11" i="9" s="1"/>
  <c r="H14" i="7"/>
  <c r="D33" i="7"/>
  <c r="D36" i="7" s="1"/>
  <c r="H18" i="7"/>
  <c r="N31" i="7"/>
  <c r="H3" i="7"/>
  <c r="K33" i="7"/>
  <c r="D43" i="8"/>
  <c r="D45" i="8" s="1"/>
  <c r="H43" i="8"/>
  <c r="H45" i="8" s="1"/>
  <c r="I43" i="8"/>
  <c r="I45" i="8" s="1"/>
  <c r="J43" i="8"/>
  <c r="J45" i="8" s="1"/>
  <c r="G20" i="8"/>
  <c r="H20" i="8"/>
  <c r="C43" i="8"/>
  <c r="C45" i="8" s="1"/>
  <c r="D20" i="8"/>
  <c r="K23" i="9"/>
  <c r="K26" i="9"/>
  <c r="K27" i="9" s="1"/>
  <c r="J18" i="9"/>
  <c r="I21" i="9"/>
  <c r="M5" i="9"/>
  <c r="M11" i="9" s="1"/>
  <c r="M18" i="9" s="1"/>
  <c r="S16" i="9"/>
  <c r="I20" i="8"/>
  <c r="K43" i="8"/>
  <c r="K45" i="8" s="1"/>
  <c r="B45" i="8"/>
  <c r="F43" i="8"/>
  <c r="F45" i="8" s="1"/>
  <c r="F20" i="8"/>
  <c r="G43" i="8"/>
  <c r="G45" i="8" s="1"/>
  <c r="N43" i="8"/>
  <c r="N45" i="8" s="1"/>
  <c r="N21" i="7"/>
  <c r="B20" i="8"/>
  <c r="C20" i="8"/>
  <c r="J20" i="8"/>
  <c r="K20" i="8"/>
  <c r="N20" i="8"/>
  <c r="O43" i="8"/>
  <c r="O45" i="8" s="1"/>
  <c r="O20" i="8"/>
  <c r="Q21" i="9"/>
  <c r="Q23" i="9" s="1"/>
  <c r="Q26" i="9" s="1"/>
  <c r="Q27" i="9" s="1"/>
  <c r="L33" i="7"/>
  <c r="H31" i="7"/>
  <c r="I33" i="7"/>
  <c r="I36" i="7" s="1"/>
  <c r="N35" i="7" s="1"/>
  <c r="J33" i="7"/>
  <c r="E33" i="7"/>
  <c r="E36" i="7" s="1"/>
  <c r="S31" i="7"/>
  <c r="Q33" i="7"/>
  <c r="Q36" i="7" s="1"/>
  <c r="R35" i="7" s="1"/>
  <c r="R16" i="9"/>
  <c r="R18" i="9" s="1"/>
  <c r="S18" i="9" l="1"/>
  <c r="S21" i="9" s="1"/>
  <c r="S23" i="9" s="1"/>
  <c r="S26" i="9" s="1"/>
  <c r="S27" i="9" s="1"/>
  <c r="H18" i="9"/>
  <c r="N5" i="9"/>
  <c r="N18" i="9"/>
  <c r="J21" i="9"/>
  <c r="H21" i="9"/>
  <c r="I23" i="9"/>
  <c r="N11" i="9"/>
  <c r="M3" i="7"/>
  <c r="M21" i="9"/>
  <c r="M23" i="9" s="1"/>
  <c r="S3" i="7"/>
  <c r="S14" i="7" s="1"/>
  <c r="S33" i="7" s="1"/>
  <c r="J35" i="7"/>
  <c r="J36" i="7" s="1"/>
  <c r="K35" i="7" s="1"/>
  <c r="K36" i="7" s="1"/>
  <c r="L35" i="7" s="1"/>
  <c r="L36" i="7" s="1"/>
  <c r="M35" i="7" s="1"/>
  <c r="H33" i="7"/>
  <c r="H36" i="7" s="1"/>
  <c r="R21" i="9"/>
  <c r="R23" i="9" s="1"/>
  <c r="R26" i="9" s="1"/>
  <c r="R27" i="9" s="1"/>
  <c r="R3" i="7"/>
  <c r="R14" i="7" s="1"/>
  <c r="N3" i="7" l="1"/>
  <c r="M14" i="7"/>
  <c r="H23" i="9"/>
  <c r="H26" i="9" s="1"/>
  <c r="H27" i="9" s="1"/>
  <c r="I26" i="9"/>
  <c r="I27" i="9" s="1"/>
  <c r="J26" i="9"/>
  <c r="J27" i="9" s="1"/>
  <c r="J23" i="9"/>
  <c r="N21" i="9"/>
  <c r="N23" i="9" s="1"/>
  <c r="N26" i="9" s="1"/>
  <c r="N27" i="9" s="1"/>
  <c r="R33" i="7"/>
  <c r="M33" i="7" l="1"/>
  <c r="N14" i="7"/>
  <c r="R36" i="7"/>
  <c r="N33" i="7" l="1"/>
  <c r="N36" i="7" s="1"/>
  <c r="S35" i="7" s="1"/>
  <c r="S36" i="7" s="1"/>
  <c r="M36" i="7"/>
  <c r="T35" i="7" l="1"/>
  <c r="T36" i="7" s="1"/>
  <c r="X35" i="7"/>
  <c r="X14" i="7"/>
  <c r="X33" i="7" s="1"/>
  <c r="X36" i="7" s="1"/>
  <c r="AA36" i="7" s="1"/>
  <c r="AA37" i="7" s="1"/>
  <c r="W14" i="7" l="1"/>
  <c r="W33" i="7" s="1"/>
  <c r="W36" i="7" s="1"/>
</calcChain>
</file>

<file path=xl/sharedStrings.xml><?xml version="1.0" encoding="utf-8"?>
<sst xmlns="http://schemas.openxmlformats.org/spreadsheetml/2006/main" count="167" uniqueCount="109">
  <si>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</si>
  <si>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</si>
  <si>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</si>
  <si>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</si>
  <si>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</si>
  <si>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</si>
  <si>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</si>
  <si>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</si>
  <si>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</si>
  <si>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</si>
  <si>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</si>
  <si>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Operating revenue</t>
  </si>
  <si>
    <t>Operating expenses</t>
  </si>
  <si>
    <t>Operating profit /(loss) before depreciation/amortisation</t>
  </si>
  <si>
    <t>Depreciation</t>
  </si>
  <si>
    <t>Amortisation</t>
  </si>
  <si>
    <t>Impairment</t>
  </si>
  <si>
    <t>Gain/(loss) sale of assets</t>
  </si>
  <si>
    <t>Operating profit/(loss)</t>
  </si>
  <si>
    <t xml:space="preserve">Interest income </t>
  </si>
  <si>
    <t>Interest expense</t>
  </si>
  <si>
    <t>Other financial items</t>
  </si>
  <si>
    <t>Net financial income/(expense)</t>
  </si>
  <si>
    <t>Profit/(loss) before tax</t>
  </si>
  <si>
    <t>Income tax expense</t>
  </si>
  <si>
    <t xml:space="preserve">Net profit/(loss) for the period </t>
  </si>
  <si>
    <t>Attributable to shareholders of the parent</t>
  </si>
  <si>
    <t>Attributable to non-controlling interests</t>
  </si>
  <si>
    <t>Basic earnings/(loss) per share (USD) net *</t>
  </si>
  <si>
    <t>Diluted earnings/(loss) per share (USD) net</t>
  </si>
  <si>
    <t>ASSETS</t>
  </si>
  <si>
    <t>Property and other equipment</t>
  </si>
  <si>
    <t>Right-of-use assets</t>
  </si>
  <si>
    <t>Intangible assets</t>
  </si>
  <si>
    <t>Other non-current assets</t>
  </si>
  <si>
    <t>Derivatives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</si>
  <si>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</si>
  <si>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</si>
  <si>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</si>
  <si>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</si>
  <si>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</si>
  <si>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</si>
  <si>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</si>
  <si>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</si>
  <si>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</si>
  <si>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</si>
  <si>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</si>
  <si>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Long-term related parties payables</t>
  </si>
  <si>
    <t>Deferred tax liabilities</t>
  </si>
  <si>
    <t>Long-term lease liabilities</t>
  </si>
  <si>
    <t>Total non-current liabilities</t>
  </si>
  <si>
    <t>Trade and other payables</t>
  </si>
  <si>
    <t>Short-term lease liabilities</t>
  </si>
  <si>
    <t>Income tax liabilities</t>
  </si>
  <si>
    <t>Total current liabilities</t>
  </si>
  <si>
    <t>Total liabilities</t>
  </si>
  <si>
    <t>TOTAL EQUITY AND LIABILITIES</t>
  </si>
  <si>
    <t>Profit/(loss) before taxes</t>
  </si>
  <si>
    <t>Depreciation and amortisation</t>
  </si>
  <si>
    <t>Change in fair value of derivatives</t>
  </si>
  <si>
    <t>Unrealised currency exchange loss/(gain)</t>
  </si>
  <si>
    <t>Add back of net interest expense</t>
  </si>
  <si>
    <t>Loss/ (gain) on sale of property, plant and equipment</t>
  </si>
  <si>
    <t>Share-based payment expense</t>
  </si>
  <si>
    <t>Changes in working capital, other balance sheet items and items related to operating activities</t>
  </si>
  <si>
    <t>Taxes paid in kind</t>
  </si>
  <si>
    <t>Net cash flow from operating activities</t>
  </si>
  <si>
    <t>Investment in property, plant and equipment and intangible assets</t>
  </si>
  <si>
    <t>Proceeds from disposal of property, plant and equipment</t>
  </si>
  <si>
    <t>Interest received</t>
  </si>
  <si>
    <t>Proceeds from interest-bearing debt</t>
  </si>
  <si>
    <t>Repayment of interest-bearing debt</t>
  </si>
  <si>
    <t>Proceeds from share issue</t>
  </si>
  <si>
    <t>Net transaction costs on issue of shares</t>
  </si>
  <si>
    <t>Payment of lease liabilities</t>
  </si>
  <si>
    <t>Proceeds from transactions with non-controlling interests</t>
  </si>
  <si>
    <t>Net change in cash and cash equivalents</t>
  </si>
  <si>
    <t>Cash and cash equivalents at beginning of period</t>
  </si>
  <si>
    <t>Cash and cash equivalents at end of period</t>
  </si>
  <si>
    <t>Q4 2021</t>
  </si>
  <si>
    <t>FY 2021</t>
  </si>
  <si>
    <t>Other non-current liabilities</t>
  </si>
  <si>
    <t>Q1 2022</t>
  </si>
  <si>
    <t>Q2 2022</t>
  </si>
  <si>
    <t>Q3 2022</t>
  </si>
  <si>
    <t>Interest-bearing non-current debt</t>
  </si>
  <si>
    <t>Interest paid</t>
  </si>
  <si>
    <t>Q4 2022</t>
  </si>
  <si>
    <t>FY 2022</t>
  </si>
  <si>
    <t xml:space="preserve">Transaction costs related to loans and borrowings </t>
  </si>
  <si>
    <t>Q1 2023</t>
  </si>
  <si>
    <t>Q2 2023</t>
  </si>
  <si>
    <t>E&amp;P tangible assets *)</t>
  </si>
  <si>
    <t>Asset retirement obligations *)</t>
  </si>
  <si>
    <t>*) Restated 2022 figure due to a policy change affecting ARO</t>
  </si>
  <si>
    <t>Q3 2023</t>
  </si>
  <si>
    <t>Interest-bearing current debt</t>
  </si>
  <si>
    <t>Q4 2023</t>
  </si>
  <si>
    <t>FY 2023</t>
  </si>
  <si>
    <t>Deferred tax assets</t>
  </si>
  <si>
    <t>Q1 2024</t>
  </si>
  <si>
    <t>Q2 2024</t>
  </si>
  <si>
    <t>Q3 2024</t>
  </si>
  <si>
    <t>Net cash flow from (used by) investing activities</t>
  </si>
  <si>
    <t>Net cash flow from (used by) financing activities</t>
  </si>
  <si>
    <t>password</t>
  </si>
  <si>
    <t>Investment in shares</t>
  </si>
  <si>
    <t>Transactions with JV partners</t>
  </si>
  <si>
    <t>Accretion expense related to abandonment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</si>
</sst>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[$-414]mmm/\ yy;@"/>
    <numFmt numFmtId="170" formatCode="_-* #,##0_-;\-* #,##0_-;_-* &quot;-&quot;??_-;_-@_-"/>
    <numFmt numFmtId="171" formatCode="_-* #,##0.000000000_-;\-* #,##0.000000000_-;_-* &quot;-&quot;??_-;_-@_-"/>
    <numFmt numFmtId="172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1E6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69" fontId="5" fillId="0" borderId="0"/>
    <xf numFmtId="43" fontId="5" fillId="0" borderId="0" applyFont="0" applyFill="0" applyBorder="0" applyAlignment="0" applyProtection="0"/>
    <xf numFmtId="169" fontId="5" fillId="0" borderId="0"/>
    <xf numFmtId="169" fontId="7" fillId="0" borderId="0"/>
    <xf numFmtId="169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2" fillId="0" borderId="0" xfId="0" applyFont="1"/>
    <xf numFmtId="0" fontId="12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0" applyFont="1" applyAlignment="1">
      <alignment readingOrder="1"/>
    </xf>
    <xf numFmtId="170" fontId="9" fillId="0" borderId="0" xfId="1" applyNumberFormat="1" applyFont="1" applyBorder="1" applyAlignment="1">
      <alignment vertical="center" readingOrder="1"/>
    </xf>
    <xf numFmtId="0" fontId="8" fillId="0" borderId="0" xfId="0" applyFont="1" applyAlignment="1">
      <alignment horizontal="right" vertical="center" readingOrder="1"/>
    </xf>
    <xf numFmtId="0" fontId="15" fillId="0" borderId="0" xfId="3" applyFont="1" applyAlignment="1">
      <alignment vertical="center" readingOrder="1"/>
    </xf>
    <xf numFmtId="0" fontId="15" fillId="2" borderId="0" xfId="3" applyFont="1" applyFill="1" applyAlignment="1">
      <alignment vertical="center" readingOrder="1"/>
    </xf>
    <xf numFmtId="0" fontId="16" fillId="0" borderId="1" xfId="3" applyFont="1" applyBorder="1" applyAlignment="1">
      <alignment vertical="center" readingOrder="1"/>
    </xf>
    <xf numFmtId="0" fontId="16" fillId="2" borderId="0" xfId="3" applyFont="1" applyFill="1" applyAlignment="1">
      <alignment vertical="center" readingOrder="1"/>
    </xf>
    <xf numFmtId="168" fontId="15" fillId="0" borderId="0" xfId="3" applyNumberFormat="1" applyFont="1" applyAlignment="1">
      <alignment vertical="center" readingOrder="1"/>
    </xf>
    <xf numFmtId="49" fontId="15" fillId="2" borderId="0" xfId="0" applyNumberFormat="1" applyFont="1" applyFill="1" applyAlignment="1">
      <alignment vertical="center" readingOrder="1"/>
    </xf>
    <xf numFmtId="166" fontId="16" fillId="3" borderId="1" xfId="3" applyNumberFormat="1" applyFont="1" applyFill="1" applyBorder="1" applyAlignment="1">
      <alignment vertical="center" readingOrder="1"/>
    </xf>
    <xf numFmtId="0" fontId="16" fillId="0" borderId="2" xfId="3" applyFont="1" applyBorder="1" applyAlignment="1">
      <alignment vertical="center" readingOrder="1"/>
    </xf>
    <xf numFmtId="0" fontId="16" fillId="0" borderId="0" xfId="3" applyFont="1" applyAlignment="1">
      <alignment vertical="center" readingOrder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5" fillId="0" borderId="0" xfId="0" applyFont="1"/>
    <xf numFmtId="0" fontId="16" fillId="2" borderId="0" xfId="0" applyFont="1" applyFill="1" applyAlignment="1">
      <alignment vertical="center"/>
    </xf>
    <xf numFmtId="49" fontId="15" fillId="2" borderId="0" xfId="2" applyNumberFormat="1" applyFont="1" applyFill="1" applyAlignment="1" applyProtection="1">
      <alignment vertical="center"/>
      <protection locked="0"/>
    </xf>
    <xf numFmtId="49" fontId="16" fillId="0" borderId="1" xfId="2" applyNumberFormat="1" applyFont="1" applyBorder="1" applyAlignment="1" applyProtection="1">
      <alignment vertical="center" wrapText="1"/>
      <protection locked="0"/>
    </xf>
    <xf numFmtId="49" fontId="16" fillId="0" borderId="0" xfId="2" applyNumberFormat="1" applyFont="1" applyAlignment="1" applyProtection="1">
      <alignment vertical="center" wrapText="1"/>
      <protection locked="0"/>
    </xf>
    <xf numFmtId="49" fontId="15" fillId="0" borderId="0" xfId="2" applyNumberFormat="1" applyFont="1" applyAlignment="1" applyProtection="1">
      <alignment vertical="center"/>
      <protection locked="0"/>
    </xf>
    <xf numFmtId="49" fontId="16" fillId="0" borderId="2" xfId="2" applyNumberFormat="1" applyFont="1" applyBorder="1" applyAlignment="1" applyProtection="1">
      <alignment vertical="center" wrapText="1"/>
      <protection locked="0"/>
    </xf>
    <xf numFmtId="49" fontId="16" fillId="2" borderId="1" xfId="2" applyNumberFormat="1" applyFont="1" applyFill="1" applyBorder="1" applyAlignment="1" applyProtection="1">
      <alignment vertical="center"/>
      <protection locked="0"/>
    </xf>
    <xf numFmtId="167" fontId="16" fillId="3" borderId="2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9" applyNumberFormat="1" applyFont="1" applyFill="1" applyAlignment="1">
      <alignment horizontal="center"/>
    </xf>
    <xf numFmtId="167" fontId="4" fillId="0" borderId="0" xfId="1" applyNumberFormat="1" applyFont="1"/>
    <xf numFmtId="0" fontId="19" fillId="2" borderId="0" xfId="3" applyFont="1" applyFill="1" applyAlignment="1">
      <alignment vertical="center" readingOrder="1"/>
    </xf>
    <xf numFmtId="166" fontId="19" fillId="0" borderId="0" xfId="3" applyNumberFormat="1" applyFont="1" applyAlignment="1">
      <alignment vertical="center" readingOrder="1"/>
    </xf>
    <xf numFmtId="168" fontId="15" fillId="0" borderId="0" xfId="1" applyNumberFormat="1" applyFont="1" applyFill="1" applyBorder="1" applyAlignment="1">
      <alignment horizontal="right" vertical="center" readingOrder="1"/>
    </xf>
    <xf numFmtId="168" fontId="16" fillId="0" borderId="1" xfId="1" applyNumberFormat="1" applyFont="1" applyFill="1" applyBorder="1" applyAlignment="1">
      <alignment vertical="center" readingOrder="1"/>
    </xf>
    <xf numFmtId="168" fontId="16" fillId="3" borderId="1" xfId="1" applyNumberFormat="1" applyFont="1" applyFill="1" applyBorder="1" applyAlignment="1">
      <alignment vertical="center" readingOrder="1"/>
    </xf>
    <xf numFmtId="43" fontId="15" fillId="0" borderId="0" xfId="3" applyNumberFormat="1" applyFont="1" applyAlignment="1">
      <alignment vertical="center" readingOrder="1"/>
    </xf>
    <xf numFmtId="0" fontId="20" fillId="0" borderId="0" xfId="0" applyFont="1" applyAlignment="1">
      <alignment vertical="top" wrapText="1"/>
    </xf>
    <xf numFmtId="164" fontId="4" fillId="0" borderId="0" xfId="1" applyFont="1"/>
    <xf numFmtId="164" fontId="4" fillId="0" borderId="0" xfId="1" applyFont="1" applyBorder="1"/>
    <xf numFmtId="166" fontId="16" fillId="3" borderId="0" xfId="3" applyNumberFormat="1" applyFont="1" applyFill="1" applyAlignment="1">
      <alignment vertical="center" readingOrder="1"/>
    </xf>
    <xf numFmtId="168" fontId="15" fillId="3" borderId="0" xfId="3" applyNumberFormat="1" applyFont="1" applyFill="1" applyAlignment="1">
      <alignment vertical="center" readingOrder="1"/>
    </xf>
    <xf numFmtId="166" fontId="19" fillId="3" borderId="0" xfId="3" applyNumberFormat="1" applyFont="1" applyFill="1" applyAlignment="1">
      <alignment vertical="center" readingOrder="1"/>
    </xf>
    <xf numFmtId="0" fontId="15" fillId="2" borderId="0" xfId="3" applyFont="1" applyFill="1" applyAlignment="1">
      <alignment vertical="center"/>
    </xf>
    <xf numFmtId="0" fontId="16" fillId="0" borderId="1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6" fillId="0" borderId="2" xfId="3" applyFont="1" applyBorder="1" applyAlignment="1">
      <alignment vertical="center"/>
    </xf>
    <xf numFmtId="166" fontId="18" fillId="2" borderId="0" xfId="3" applyNumberFormat="1" applyFont="1" applyFill="1" applyAlignment="1">
      <alignment horizontal="right" vertical="center"/>
    </xf>
    <xf numFmtId="167" fontId="16" fillId="3" borderId="0" xfId="1" applyNumberFormat="1" applyFont="1" applyFill="1" applyAlignment="1" applyProtection="1">
      <alignment vertical="center" wrapText="1"/>
      <protection locked="0"/>
    </xf>
    <xf numFmtId="167" fontId="15" fillId="3" borderId="0" xfId="1" applyNumberFormat="1" applyFont="1" applyFill="1" applyAlignment="1" applyProtection="1">
      <alignment vertical="center"/>
      <protection locked="0"/>
    </xf>
    <xf numFmtId="0" fontId="20" fillId="0" borderId="0" xfId="0" applyFont="1" applyAlignment="1">
      <alignment horizontal="left" vertical="top" wrapText="1"/>
    </xf>
    <xf numFmtId="168" fontId="15" fillId="3" borderId="0" xfId="1" applyNumberFormat="1" applyFont="1" applyFill="1" applyAlignment="1">
      <alignment horizontal="right" vertical="center" readingOrder="1"/>
    </xf>
    <xf numFmtId="168" fontId="16" fillId="0" borderId="0" xfId="3" applyNumberFormat="1" applyFont="1" applyAlignment="1">
      <alignment vertical="center" readingOrder="1"/>
    </xf>
    <xf numFmtId="168" fontId="16" fillId="3" borderId="0" xfId="3" applyNumberFormat="1" applyFont="1" applyFill="1" applyAlignment="1">
      <alignment vertical="center" readingOrder="1"/>
    </xf>
    <xf numFmtId="168" fontId="16" fillId="0" borderId="0" xfId="0" applyNumberFormat="1" applyFont="1" applyAlignment="1">
      <alignment vertical="center" readingOrder="1"/>
    </xf>
    <xf numFmtId="168" fontId="16" fillId="3" borderId="0" xfId="0" applyNumberFormat="1" applyFont="1" applyFill="1" applyAlignment="1">
      <alignment vertical="center" readingOrder="1"/>
    </xf>
    <xf numFmtId="168" fontId="16" fillId="0" borderId="1" xfId="3" applyNumberFormat="1" applyFont="1" applyBorder="1" applyAlignment="1">
      <alignment vertical="center" readingOrder="1"/>
    </xf>
    <xf numFmtId="168" fontId="16" fillId="3" borderId="1" xfId="3" applyNumberFormat="1" applyFont="1" applyFill="1" applyBorder="1" applyAlignment="1">
      <alignment vertical="center" readingOrder="1"/>
    </xf>
    <xf numFmtId="168" fontId="16" fillId="0" borderId="2" xfId="3" applyNumberFormat="1" applyFont="1" applyBorder="1" applyAlignment="1">
      <alignment vertical="center" readingOrder="1"/>
    </xf>
    <xf numFmtId="168" fontId="16" fillId="3" borderId="2" xfId="3" applyNumberFormat="1" applyFont="1" applyFill="1" applyBorder="1" applyAlignment="1">
      <alignment vertical="center" readingOrder="1"/>
    </xf>
    <xf numFmtId="168" fontId="16" fillId="0" borderId="0" xfId="1" applyNumberFormat="1" applyFont="1" applyFill="1" applyBorder="1" applyAlignment="1">
      <alignment vertical="center" readingOrder="1"/>
    </xf>
    <xf numFmtId="168" fontId="16" fillId="3" borderId="0" xfId="1" applyNumberFormat="1" applyFont="1" applyFill="1" applyAlignment="1">
      <alignment vertical="center" readingOrder="1"/>
    </xf>
    <xf numFmtId="168" fontId="15" fillId="0" borderId="0" xfId="3" applyNumberFormat="1" applyFont="1" applyAlignment="1">
      <alignment horizontal="right" vertical="center"/>
    </xf>
    <xf numFmtId="168" fontId="16" fillId="0" borderId="1" xfId="1" applyNumberFormat="1" applyFont="1" applyBorder="1" applyAlignment="1">
      <alignment horizontal="right" vertical="center"/>
    </xf>
    <xf numFmtId="168" fontId="16" fillId="3" borderId="1" xfId="1" applyNumberFormat="1" applyFont="1" applyFill="1" applyBorder="1" applyAlignment="1">
      <alignment horizontal="right" vertical="center"/>
    </xf>
    <xf numFmtId="168" fontId="16" fillId="0" borderId="0" xfId="1" applyNumberFormat="1" applyFont="1" applyAlignment="1">
      <alignment horizontal="right" vertical="center"/>
    </xf>
    <xf numFmtId="168" fontId="16" fillId="3" borderId="0" xfId="1" applyNumberFormat="1" applyFont="1" applyFill="1" applyAlignment="1">
      <alignment horizontal="right" vertical="center"/>
    </xf>
    <xf numFmtId="168" fontId="15" fillId="3" borderId="0" xfId="3" applyNumberFormat="1" applyFont="1" applyFill="1" applyAlignment="1">
      <alignment horizontal="right" vertical="center"/>
    </xf>
    <xf numFmtId="168" fontId="16" fillId="0" borderId="2" xfId="1" applyNumberFormat="1" applyFont="1" applyBorder="1" applyAlignment="1">
      <alignment horizontal="right" vertical="center"/>
    </xf>
    <xf numFmtId="168" fontId="16" fillId="3" borderId="2" xfId="1" applyNumberFormat="1" applyFont="1" applyFill="1" applyBorder="1" applyAlignment="1">
      <alignment horizontal="right" vertical="center"/>
    </xf>
    <xf numFmtId="168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 wrapText="1"/>
      <protection locked="0"/>
    </xf>
    <xf numFmtId="168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Border="1" applyAlignment="1" applyProtection="1">
      <alignment vertical="center"/>
      <protection locked="0"/>
    </xf>
    <xf numFmtId="166" fontId="15" fillId="0" borderId="0" xfId="1" applyNumberFormat="1" applyFont="1" applyFill="1" applyAlignment="1">
      <alignment horizontal="right" vertical="center" readingOrder="1"/>
    </xf>
    <xf numFmtId="166" fontId="16" fillId="0" borderId="1" xfId="1" applyNumberFormat="1" applyFont="1" applyFill="1" applyBorder="1" applyAlignment="1">
      <alignment vertical="center" readingOrder="1"/>
    </xf>
    <xf numFmtId="166" fontId="16" fillId="0" borderId="0" xfId="3" applyNumberFormat="1" applyFont="1" applyAlignment="1">
      <alignment vertical="center" readingOrder="1"/>
    </xf>
    <xf numFmtId="166" fontId="16" fillId="0" borderId="0" xfId="0" applyNumberFormat="1" applyFont="1" applyAlignment="1">
      <alignment vertical="center" readingOrder="1"/>
    </xf>
    <xf numFmtId="166" fontId="16" fillId="0" borderId="1" xfId="3" applyNumberFormat="1" applyFont="1" applyBorder="1" applyAlignment="1">
      <alignment vertical="center" readingOrder="1"/>
    </xf>
    <xf numFmtId="166" fontId="16" fillId="0" borderId="2" xfId="3" applyNumberFormat="1" applyFont="1" applyBorder="1" applyAlignment="1">
      <alignment vertical="center" readingOrder="1"/>
    </xf>
    <xf numFmtId="166" fontId="16" fillId="0" borderId="0" xfId="1" applyNumberFormat="1" applyFont="1" applyFill="1" applyAlignment="1">
      <alignment vertical="center" readingOrder="1"/>
    </xf>
    <xf numFmtId="167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Alignment="1" applyProtection="1">
      <alignment vertical="center" wrapText="1"/>
      <protection locked="0"/>
    </xf>
    <xf numFmtId="167" fontId="16" fillId="0" borderId="0" xfId="1" applyNumberFormat="1" applyFont="1" applyFill="1" applyAlignment="1" applyProtection="1">
      <alignment vertical="center" wrapText="1"/>
      <protection locked="0"/>
    </xf>
    <xf numFmtId="168" fontId="15" fillId="0" borderId="0" xfId="1" applyNumberFormat="1" applyFont="1" applyFill="1" applyAlignment="1">
      <alignment vertical="center" readingOrder="1"/>
    </xf>
    <xf numFmtId="167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Alignment="1" applyProtection="1">
      <alignment vertical="center"/>
      <protection locked="0"/>
    </xf>
    <xf numFmtId="167" fontId="15" fillId="0" borderId="0" xfId="1" applyNumberFormat="1" applyFont="1" applyFill="1" applyAlignment="1" applyProtection="1">
      <alignment vertical="center"/>
      <protection locked="0"/>
    </xf>
    <xf numFmtId="171" fontId="9" fillId="0" borderId="0" xfId="1" applyNumberFormat="1" applyFont="1" applyBorder="1" applyAlignment="1">
      <alignment vertical="center" readingOrder="1"/>
    </xf>
    <xf numFmtId="49" fontId="14" fillId="4" borderId="1" xfId="2" applyNumberFormat="1" applyFont="1" applyFill="1" applyBorder="1" applyAlignment="1" applyProtection="1">
      <alignment vertical="center"/>
      <protection locked="0"/>
    </xf>
    <xf numFmtId="0" fontId="14" fillId="4" borderId="1" xfId="3" applyFont="1" applyFill="1" applyBorder="1" applyAlignment="1">
      <alignment horizontal="right" vertical="center" readingOrder="1"/>
    </xf>
    <xf numFmtId="0" fontId="14" fillId="4" borderId="1" xfId="3" applyFont="1" applyFill="1" applyBorder="1" applyAlignment="1">
      <alignment vertical="center"/>
    </xf>
    <xf numFmtId="0" fontId="14" fillId="4" borderId="1" xfId="3" applyFont="1" applyFill="1" applyBorder="1" applyAlignment="1">
      <alignment horizontal="right" vertical="center" wrapText="1" readingOrder="1"/>
    </xf>
    <xf numFmtId="0" fontId="13" fillId="4" borderId="1" xfId="0" applyFont="1" applyFill="1" applyBorder="1" applyAlignment="1">
      <alignment horizontal="left" vertical="center" readingOrder="1"/>
    </xf>
    <xf numFmtId="0" fontId="21" fillId="0" borderId="0" xfId="0" applyFont="1"/>
    <xf numFmtId="0" fontId="20" fillId="0" borderId="0" xfId="0" applyFont="1" applyAlignment="1">
      <alignment vertical="top"/>
    </xf>
    <xf numFmtId="168" fontId="15" fillId="5" borderId="0" xfId="3" applyNumberFormat="1" applyFont="1" applyFill="1" applyAlignment="1">
      <alignment vertical="center" readingOrder="1"/>
    </xf>
    <xf numFmtId="168" fontId="17" fillId="5" borderId="0" xfId="19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/>
    <xf numFmtId="168" fontId="15" fillId="3" borderId="0" xfId="1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vertical="center"/>
    </xf>
    <xf numFmtId="0" fontId="22" fillId="0" borderId="0" xfId="0" applyFont="1"/>
    <xf numFmtId="168" fontId="15" fillId="0" borderId="0" xfId="1" applyNumberFormat="1" applyFont="1" applyAlignment="1">
      <alignment horizontal="right" vertical="center"/>
    </xf>
    <xf numFmtId="164" fontId="15" fillId="3" borderId="0" xfId="1" applyFont="1" applyFill="1" applyAlignment="1">
      <alignment vertical="center" readingOrder="1"/>
    </xf>
    <xf numFmtId="43" fontId="21" fillId="0" borderId="0" xfId="0" applyNumberFormat="1" applyFont="1"/>
    <xf numFmtId="172" fontId="15" fillId="2" borderId="0" xfId="0" applyNumberFormat="1" applyFont="1" applyFill="1" applyAlignment="1">
      <alignment vertical="center"/>
    </xf>
    <xf numFmtId="43" fontId="4" fillId="0" borderId="0" xfId="0" applyNumberFormat="1" applyFont="1"/>
    <xf numFmtId="9" fontId="5" fillId="0" borderId="0" xfId="102" applyFont="1"/>
    <xf numFmtId="168" fontId="23" fillId="2" borderId="0" xfId="0" applyNumberFormat="1" applyFont="1" applyFill="1" applyAlignment="1">
      <alignment vertical="center"/>
    </xf>
  </cellXfs>
  <cellStyles count="103">
    <cellStyle name="Comma" xfId="1" builtinId="3"/>
    <cellStyle name="Comma 2" xfId="16" xr:uid="{00000000-0005-0000-0000-000001000000}"/>
    <cellStyle name="Comma 2 2" xfId="22" xr:uid="{00000000-0005-0000-0000-000002000000}"/>
    <cellStyle name="Comma 2 3" xfId="101" xr:uid="{00000000-0005-0000-0000-000003000000}"/>
    <cellStyle name="Comma 3" xfId="8" xr:uid="{00000000-0005-0000-0000-000004000000}"/>
    <cellStyle name="Comma 3 2" xfId="21" xr:uid="{00000000-0005-0000-0000-000005000000}"/>
    <cellStyle name="Comma 3 3" xfId="100" xr:uid="{00000000-0005-0000-0000-000006000000}"/>
    <cellStyle name="Comma 4" xfId="6" xr:uid="{00000000-0005-0000-0000-000007000000}"/>
    <cellStyle name="Comma 4 2" xfId="20" xr:uid="{00000000-0005-0000-0000-000008000000}"/>
    <cellStyle name="Comma 4 3" xfId="99" xr:uid="{00000000-0005-0000-0000-000009000000}"/>
    <cellStyle name="Comma 5" xfId="19" xr:uid="{00000000-0005-0000-0000-00000A000000}"/>
    <cellStyle name="Comma 5 2" xfId="23" xr:uid="{00000000-0005-0000-0000-00000B000000}"/>
    <cellStyle name="Comma 6" xfId="98" xr:uid="{00000000-0005-0000-0000-00000C000000}"/>
    <cellStyle name="Followed Hyperlink" xfId="27" builtinId="9" hidden="1"/>
    <cellStyle name="Followed Hyperlink" xfId="25" builtinId="9" hidden="1"/>
    <cellStyle name="Followed Hyperlink" xfId="29" builtinId="9" hidden="1"/>
    <cellStyle name="Followed Hyperlink" xfId="43" builtinId="9" hidden="1"/>
    <cellStyle name="Followed Hyperlink" xfId="53" builtinId="9" hidden="1"/>
    <cellStyle name="Followed Hyperlink" xfId="85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83" builtinId="9" hidden="1"/>
    <cellStyle name="Followed Hyperlink" xfId="87" builtinId="9" hidden="1"/>
    <cellStyle name="Followed Hyperlink" xfId="8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57" builtinId="9" hidden="1"/>
    <cellStyle name="Followed Hyperlink" xfId="55" builtinId="9" hidden="1"/>
    <cellStyle name="Followed Hyperlink" xfId="59" builtinId="9" hidden="1"/>
    <cellStyle name="Followed Hyperlink" xfId="81" builtinId="9" hidden="1"/>
    <cellStyle name="Followed Hyperlink" xfId="79" builtinId="9" hidden="1"/>
    <cellStyle name="Followed Hyperlink" xfId="91" builtinId="9" hidden="1"/>
    <cellStyle name="Followed Hyperlink" xfId="45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7" builtinId="9" hidden="1"/>
    <cellStyle name="Followed Hyperlink" xfId="51" builtinId="9" hidden="1"/>
    <cellStyle name="Followed Hyperlink" xfId="31" builtinId="9" hidden="1"/>
    <cellStyle name="Followed Hyperlink" xfId="33" builtinId="9" hidden="1"/>
    <cellStyle name="Followed Hyperlink" xfId="49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93" builtinId="9" hidden="1"/>
    <cellStyle name="Followed Hyperlink" xfId="97" builtinId="9" hidden="1"/>
    <cellStyle name="Followed Hyperlink" xfId="95" builtinId="9" hidden="1"/>
    <cellStyle name="Hyperlink" xfId="52" builtinId="8" hidden="1"/>
    <cellStyle name="Hyperlink" xfId="56" builtinId="8" hidden="1"/>
    <cellStyle name="Hyperlink" xfId="86" builtinId="8" hidden="1"/>
    <cellStyle name="Hyperlink" xfId="90" builtinId="8" hidden="1"/>
    <cellStyle name="Hyperlink" xfId="92" builtinId="8" hidden="1"/>
    <cellStyle name="Hyperlink" xfId="84" builtinId="8" hidden="1"/>
    <cellStyle name="Hyperlink" xfId="82" builtinId="8" hidden="1"/>
    <cellStyle name="Hyperlink" xfId="88" builtinId="8" hidden="1"/>
    <cellStyle name="Hyperlink" xfId="50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54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70" builtinId="8" hidden="1"/>
    <cellStyle name="Hyperlink" xfId="96" builtinId="8" hidden="1"/>
    <cellStyle name="Hyperlink" xfId="94" builtinId="8" hidden="1"/>
    <cellStyle name="Hyperlink" xfId="48" builtinId="8" hidden="1"/>
    <cellStyle name="Hyperlink" xfId="64" builtinId="8" hidden="1"/>
    <cellStyle name="Hyperlink" xfId="78" builtinId="8" hidden="1"/>
    <cellStyle name="Hyperlink" xfId="24" builtinId="8" hidden="1"/>
    <cellStyle name="Hyperlink" xfId="26" builtinId="8" hidden="1"/>
    <cellStyle name="Hyperlink" xfId="38" builtinId="8" hidden="1"/>
    <cellStyle name="Hyperlink" xfId="60" builtinId="8" hidden="1"/>
    <cellStyle name="Hyperlink" xfId="62" builtinId="8" hidden="1"/>
    <cellStyle name="Hyperlink" xfId="66" builtinId="8" hidden="1"/>
    <cellStyle name="Hyperlink" xfId="58" builtinId="8" hidden="1"/>
    <cellStyle name="Hyperlink" xfId="28" builtinId="8" hidden="1"/>
    <cellStyle name="Hyperlink" xfId="30" builtinId="8" hidden="1"/>
    <cellStyle name="Hyperlink" xfId="32" builtinId="8" hidden="1"/>
    <cellStyle name="Hyperlink" xfId="46" builtinId="8" hidden="1"/>
    <cellStyle name="Hyperlink" xfId="44" builtinId="8" hidden="1"/>
    <cellStyle name="Normal" xfId="0" builtinId="0"/>
    <cellStyle name="Normal 14 10" xfId="18" xr:uid="{00000000-0005-0000-0000-000058000000}"/>
    <cellStyle name="Normal 2" xfId="4" xr:uid="{00000000-0005-0000-0000-000059000000}"/>
    <cellStyle name="Normal 2 2" xfId="14" xr:uid="{00000000-0005-0000-0000-00005A000000}"/>
    <cellStyle name="Normal 2 3" xfId="9" xr:uid="{00000000-0005-0000-0000-00005B000000}"/>
    <cellStyle name="Normal 3" xfId="10" xr:uid="{00000000-0005-0000-0000-00005C000000}"/>
    <cellStyle name="Normal 4" xfId="5" xr:uid="{00000000-0005-0000-0000-00005D000000}"/>
    <cellStyle name="Normal 4 2" xfId="15" xr:uid="{00000000-0005-0000-0000-00005E000000}"/>
    <cellStyle name="Normal 5" xfId="7" xr:uid="{00000000-0005-0000-0000-00005F000000}"/>
    <cellStyle name="Normal 8" xfId="11" xr:uid="{00000000-0005-0000-0000-000060000000}"/>
    <cellStyle name="Normal_Kopi av 2006 02 08 Regnskap konsern 2005Eng" xfId="2" xr:uid="{00000000-0005-0000-0000-000061000000}"/>
    <cellStyle name="Normal_Notemal" xfId="3" xr:uid="{00000000-0005-0000-0000-000062000000}"/>
    <cellStyle name="Percent" xfId="102" builtinId="5"/>
    <cellStyle name="Percent 2" xfId="13" xr:uid="{00000000-0005-0000-0000-000064000000}"/>
    <cellStyle name="Percent 3" xfId="17" xr:uid="{00000000-0005-0000-0000-000065000000}"/>
    <cellStyle name="Percent 4" xfId="12" xr:uid="{00000000-0005-0000-0000-000066000000}"/>
  </cellStyles>
  <dxfs count="0"/>
  <tableStyles count="0" defaultTableStyle="TableStyleMedium2" defaultPivotStyle="PivotStyleLight16"/>
  <colors>
    <mruColors>
      <color rgb="FF001E61"/>
      <color rgb="FF92CDDC"/>
      <color rgb="FFFF66FF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C46"/>
  <sheetViews>
    <sheetView showGridLines="0" tabSelected="1" zoomScaleNormal="100" zoomScalePageLayoutView="120" workbookViewId="0">
      <selection activeCell="A29" sqref="A29"/>
    </sheetView>
  </sheetViews>
  <sheetFormatPr defaultColWidth="8.7109375" defaultRowHeight="12" x14ac:dyDescent="0.2"/>
  <cols>
    <col min="1" max="1" width="46.28515625" style="1" customWidth="1"/>
    <col min="2" max="4" width="10.7109375" style="1" hidden="1" customWidth="1"/>
    <col min="5" max="6" width="10.7109375" style="30" hidden="1" customWidth="1"/>
    <col min="7" max="9" width="10.7109375" style="1" hidden="1" customWidth="1"/>
    <col min="10" max="23" width="10.7109375" style="1" customWidth="1"/>
    <col min="24" max="26" width="10.7109375" style="30" customWidth="1"/>
    <col min="27" max="27" width="10.7109375" style="1" customWidth="1"/>
    <col min="28" max="28" width="8.7109375" style="94"/>
    <col min="29" max="245" width="8.7109375" style="1"/>
    <col min="246" max="246" width="41.28515625" style="1" customWidth="1"/>
    <col min="247" max="247" width="5.42578125" style="1" customWidth="1"/>
    <col min="248" max="250" width="9.28515625" style="1" customWidth="1"/>
    <col min="251" max="253" width="8.7109375" style="1"/>
    <col min="254" max="254" width="0" style="1" hidden="1" customWidth="1"/>
    <col min="255" max="501" width="8.7109375" style="1"/>
    <col min="502" max="502" width="41.28515625" style="1" customWidth="1"/>
    <col min="503" max="503" width="5.42578125" style="1" customWidth="1"/>
    <col min="504" max="506" width="9.28515625" style="1" customWidth="1"/>
    <col min="507" max="509" width="8.7109375" style="1"/>
    <col min="510" max="510" width="0" style="1" hidden="1" customWidth="1"/>
    <col min="511" max="757" width="8.7109375" style="1"/>
    <col min="758" max="758" width="41.28515625" style="1" customWidth="1"/>
    <col min="759" max="759" width="5.42578125" style="1" customWidth="1"/>
    <col min="760" max="762" width="9.28515625" style="1" customWidth="1"/>
    <col min="763" max="765" width="8.7109375" style="1"/>
    <col min="766" max="766" width="0" style="1" hidden="1" customWidth="1"/>
    <col min="767" max="1013" width="8.7109375" style="1"/>
    <col min="1014" max="1014" width="41.28515625" style="1" customWidth="1"/>
    <col min="1015" max="1015" width="5.42578125" style="1" customWidth="1"/>
    <col min="1016" max="1018" width="9.28515625" style="1" customWidth="1"/>
    <col min="1019" max="1021" width="8.7109375" style="1"/>
    <col min="1022" max="1022" width="0" style="1" hidden="1" customWidth="1"/>
    <col min="1023" max="1269" width="8.7109375" style="1"/>
    <col min="1270" max="1270" width="41.28515625" style="1" customWidth="1"/>
    <col min="1271" max="1271" width="5.42578125" style="1" customWidth="1"/>
    <col min="1272" max="1274" width="9.28515625" style="1" customWidth="1"/>
    <col min="1275" max="1277" width="8.7109375" style="1"/>
    <col min="1278" max="1278" width="0" style="1" hidden="1" customWidth="1"/>
    <col min="1279" max="1525" width="8.7109375" style="1"/>
    <col min="1526" max="1526" width="41.28515625" style="1" customWidth="1"/>
    <col min="1527" max="1527" width="5.42578125" style="1" customWidth="1"/>
    <col min="1528" max="1530" width="9.28515625" style="1" customWidth="1"/>
    <col min="1531" max="1533" width="8.7109375" style="1"/>
    <col min="1534" max="1534" width="0" style="1" hidden="1" customWidth="1"/>
    <col min="1535" max="1781" width="8.7109375" style="1"/>
    <col min="1782" max="1782" width="41.28515625" style="1" customWidth="1"/>
    <col min="1783" max="1783" width="5.42578125" style="1" customWidth="1"/>
    <col min="1784" max="1786" width="9.28515625" style="1" customWidth="1"/>
    <col min="1787" max="1789" width="8.7109375" style="1"/>
    <col min="1790" max="1790" width="0" style="1" hidden="1" customWidth="1"/>
    <col min="1791" max="2037" width="8.7109375" style="1"/>
    <col min="2038" max="2038" width="41.28515625" style="1" customWidth="1"/>
    <col min="2039" max="2039" width="5.42578125" style="1" customWidth="1"/>
    <col min="2040" max="2042" width="9.28515625" style="1" customWidth="1"/>
    <col min="2043" max="2045" width="8.7109375" style="1"/>
    <col min="2046" max="2046" width="0" style="1" hidden="1" customWidth="1"/>
    <col min="2047" max="2293" width="8.7109375" style="1"/>
    <col min="2294" max="2294" width="41.28515625" style="1" customWidth="1"/>
    <col min="2295" max="2295" width="5.42578125" style="1" customWidth="1"/>
    <col min="2296" max="2298" width="9.28515625" style="1" customWidth="1"/>
    <col min="2299" max="2301" width="8.7109375" style="1"/>
    <col min="2302" max="2302" width="0" style="1" hidden="1" customWidth="1"/>
    <col min="2303" max="2549" width="8.7109375" style="1"/>
    <col min="2550" max="2550" width="41.28515625" style="1" customWidth="1"/>
    <col min="2551" max="2551" width="5.42578125" style="1" customWidth="1"/>
    <col min="2552" max="2554" width="9.28515625" style="1" customWidth="1"/>
    <col min="2555" max="2557" width="8.7109375" style="1"/>
    <col min="2558" max="2558" width="0" style="1" hidden="1" customWidth="1"/>
    <col min="2559" max="2805" width="8.7109375" style="1"/>
    <col min="2806" max="2806" width="41.28515625" style="1" customWidth="1"/>
    <col min="2807" max="2807" width="5.42578125" style="1" customWidth="1"/>
    <col min="2808" max="2810" width="9.28515625" style="1" customWidth="1"/>
    <col min="2811" max="2813" width="8.7109375" style="1"/>
    <col min="2814" max="2814" width="0" style="1" hidden="1" customWidth="1"/>
    <col min="2815" max="3061" width="8.7109375" style="1"/>
    <col min="3062" max="3062" width="41.28515625" style="1" customWidth="1"/>
    <col min="3063" max="3063" width="5.42578125" style="1" customWidth="1"/>
    <col min="3064" max="3066" width="9.28515625" style="1" customWidth="1"/>
    <col min="3067" max="3069" width="8.7109375" style="1"/>
    <col min="3070" max="3070" width="0" style="1" hidden="1" customWidth="1"/>
    <col min="3071" max="3317" width="8.7109375" style="1"/>
    <col min="3318" max="3318" width="41.28515625" style="1" customWidth="1"/>
    <col min="3319" max="3319" width="5.42578125" style="1" customWidth="1"/>
    <col min="3320" max="3322" width="9.28515625" style="1" customWidth="1"/>
    <col min="3323" max="3325" width="8.7109375" style="1"/>
    <col min="3326" max="3326" width="0" style="1" hidden="1" customWidth="1"/>
    <col min="3327" max="3573" width="8.7109375" style="1"/>
    <col min="3574" max="3574" width="41.28515625" style="1" customWidth="1"/>
    <col min="3575" max="3575" width="5.42578125" style="1" customWidth="1"/>
    <col min="3576" max="3578" width="9.28515625" style="1" customWidth="1"/>
    <col min="3579" max="3581" width="8.7109375" style="1"/>
    <col min="3582" max="3582" width="0" style="1" hidden="1" customWidth="1"/>
    <col min="3583" max="3829" width="8.7109375" style="1"/>
    <col min="3830" max="3830" width="41.28515625" style="1" customWidth="1"/>
    <col min="3831" max="3831" width="5.42578125" style="1" customWidth="1"/>
    <col min="3832" max="3834" width="9.28515625" style="1" customWidth="1"/>
    <col min="3835" max="3837" width="8.7109375" style="1"/>
    <col min="3838" max="3838" width="0" style="1" hidden="1" customWidth="1"/>
    <col min="3839" max="4085" width="8.7109375" style="1"/>
    <col min="4086" max="4086" width="41.28515625" style="1" customWidth="1"/>
    <col min="4087" max="4087" width="5.42578125" style="1" customWidth="1"/>
    <col min="4088" max="4090" width="9.28515625" style="1" customWidth="1"/>
    <col min="4091" max="4093" width="8.7109375" style="1"/>
    <col min="4094" max="4094" width="0" style="1" hidden="1" customWidth="1"/>
    <col min="4095" max="4341" width="8.7109375" style="1"/>
    <col min="4342" max="4342" width="41.28515625" style="1" customWidth="1"/>
    <col min="4343" max="4343" width="5.42578125" style="1" customWidth="1"/>
    <col min="4344" max="4346" width="9.28515625" style="1" customWidth="1"/>
    <col min="4347" max="4349" width="8.7109375" style="1"/>
    <col min="4350" max="4350" width="0" style="1" hidden="1" customWidth="1"/>
    <col min="4351" max="4597" width="8.7109375" style="1"/>
    <col min="4598" max="4598" width="41.28515625" style="1" customWidth="1"/>
    <col min="4599" max="4599" width="5.42578125" style="1" customWidth="1"/>
    <col min="4600" max="4602" width="9.28515625" style="1" customWidth="1"/>
    <col min="4603" max="4605" width="8.7109375" style="1"/>
    <col min="4606" max="4606" width="0" style="1" hidden="1" customWidth="1"/>
    <col min="4607" max="4853" width="8.7109375" style="1"/>
    <col min="4854" max="4854" width="41.28515625" style="1" customWidth="1"/>
    <col min="4855" max="4855" width="5.42578125" style="1" customWidth="1"/>
    <col min="4856" max="4858" width="9.28515625" style="1" customWidth="1"/>
    <col min="4859" max="4861" width="8.7109375" style="1"/>
    <col min="4862" max="4862" width="0" style="1" hidden="1" customWidth="1"/>
    <col min="4863" max="5109" width="8.7109375" style="1"/>
    <col min="5110" max="5110" width="41.28515625" style="1" customWidth="1"/>
    <col min="5111" max="5111" width="5.42578125" style="1" customWidth="1"/>
    <col min="5112" max="5114" width="9.28515625" style="1" customWidth="1"/>
    <col min="5115" max="5117" width="8.7109375" style="1"/>
    <col min="5118" max="5118" width="0" style="1" hidden="1" customWidth="1"/>
    <col min="5119" max="5365" width="8.7109375" style="1"/>
    <col min="5366" max="5366" width="41.28515625" style="1" customWidth="1"/>
    <col min="5367" max="5367" width="5.42578125" style="1" customWidth="1"/>
    <col min="5368" max="5370" width="9.28515625" style="1" customWidth="1"/>
    <col min="5371" max="5373" width="8.7109375" style="1"/>
    <col min="5374" max="5374" width="0" style="1" hidden="1" customWidth="1"/>
    <col min="5375" max="5621" width="8.7109375" style="1"/>
    <col min="5622" max="5622" width="41.28515625" style="1" customWidth="1"/>
    <col min="5623" max="5623" width="5.42578125" style="1" customWidth="1"/>
    <col min="5624" max="5626" width="9.28515625" style="1" customWidth="1"/>
    <col min="5627" max="5629" width="8.7109375" style="1"/>
    <col min="5630" max="5630" width="0" style="1" hidden="1" customWidth="1"/>
    <col min="5631" max="5877" width="8.7109375" style="1"/>
    <col min="5878" max="5878" width="41.28515625" style="1" customWidth="1"/>
    <col min="5879" max="5879" width="5.42578125" style="1" customWidth="1"/>
    <col min="5880" max="5882" width="9.28515625" style="1" customWidth="1"/>
    <col min="5883" max="5885" width="8.7109375" style="1"/>
    <col min="5886" max="5886" width="0" style="1" hidden="1" customWidth="1"/>
    <col min="5887" max="6133" width="8.7109375" style="1"/>
    <col min="6134" max="6134" width="41.28515625" style="1" customWidth="1"/>
    <col min="6135" max="6135" width="5.42578125" style="1" customWidth="1"/>
    <col min="6136" max="6138" width="9.28515625" style="1" customWidth="1"/>
    <col min="6139" max="6141" width="8.7109375" style="1"/>
    <col min="6142" max="6142" width="0" style="1" hidden="1" customWidth="1"/>
    <col min="6143" max="6389" width="8.7109375" style="1"/>
    <col min="6390" max="6390" width="41.28515625" style="1" customWidth="1"/>
    <col min="6391" max="6391" width="5.42578125" style="1" customWidth="1"/>
    <col min="6392" max="6394" width="9.28515625" style="1" customWidth="1"/>
    <col min="6395" max="6397" width="8.7109375" style="1"/>
    <col min="6398" max="6398" width="0" style="1" hidden="1" customWidth="1"/>
    <col min="6399" max="6645" width="8.7109375" style="1"/>
    <col min="6646" max="6646" width="41.28515625" style="1" customWidth="1"/>
    <col min="6647" max="6647" width="5.42578125" style="1" customWidth="1"/>
    <col min="6648" max="6650" width="9.28515625" style="1" customWidth="1"/>
    <col min="6651" max="6653" width="8.7109375" style="1"/>
    <col min="6654" max="6654" width="0" style="1" hidden="1" customWidth="1"/>
    <col min="6655" max="6901" width="8.7109375" style="1"/>
    <col min="6902" max="6902" width="41.28515625" style="1" customWidth="1"/>
    <col min="6903" max="6903" width="5.42578125" style="1" customWidth="1"/>
    <col min="6904" max="6906" width="9.28515625" style="1" customWidth="1"/>
    <col min="6907" max="6909" width="8.7109375" style="1"/>
    <col min="6910" max="6910" width="0" style="1" hidden="1" customWidth="1"/>
    <col min="6911" max="7157" width="8.7109375" style="1"/>
    <col min="7158" max="7158" width="41.28515625" style="1" customWidth="1"/>
    <col min="7159" max="7159" width="5.42578125" style="1" customWidth="1"/>
    <col min="7160" max="7162" width="9.28515625" style="1" customWidth="1"/>
    <col min="7163" max="7165" width="8.7109375" style="1"/>
    <col min="7166" max="7166" width="0" style="1" hidden="1" customWidth="1"/>
    <col min="7167" max="7413" width="8.7109375" style="1"/>
    <col min="7414" max="7414" width="41.28515625" style="1" customWidth="1"/>
    <col min="7415" max="7415" width="5.42578125" style="1" customWidth="1"/>
    <col min="7416" max="7418" width="9.28515625" style="1" customWidth="1"/>
    <col min="7419" max="7421" width="8.7109375" style="1"/>
    <col min="7422" max="7422" width="0" style="1" hidden="1" customWidth="1"/>
    <col min="7423" max="7669" width="8.7109375" style="1"/>
    <col min="7670" max="7670" width="41.28515625" style="1" customWidth="1"/>
    <col min="7671" max="7671" width="5.42578125" style="1" customWidth="1"/>
    <col min="7672" max="7674" width="9.28515625" style="1" customWidth="1"/>
    <col min="7675" max="7677" width="8.7109375" style="1"/>
    <col min="7678" max="7678" width="0" style="1" hidden="1" customWidth="1"/>
    <col min="7679" max="7925" width="8.7109375" style="1"/>
    <col min="7926" max="7926" width="41.28515625" style="1" customWidth="1"/>
    <col min="7927" max="7927" width="5.42578125" style="1" customWidth="1"/>
    <col min="7928" max="7930" width="9.28515625" style="1" customWidth="1"/>
    <col min="7931" max="7933" width="8.7109375" style="1"/>
    <col min="7934" max="7934" width="0" style="1" hidden="1" customWidth="1"/>
    <col min="7935" max="8181" width="8.7109375" style="1"/>
    <col min="8182" max="8182" width="41.28515625" style="1" customWidth="1"/>
    <col min="8183" max="8183" width="5.42578125" style="1" customWidth="1"/>
    <col min="8184" max="8186" width="9.28515625" style="1" customWidth="1"/>
    <col min="8187" max="8189" width="8.7109375" style="1"/>
    <col min="8190" max="8190" width="0" style="1" hidden="1" customWidth="1"/>
    <col min="8191" max="8437" width="8.7109375" style="1"/>
    <col min="8438" max="8438" width="41.28515625" style="1" customWidth="1"/>
    <col min="8439" max="8439" width="5.42578125" style="1" customWidth="1"/>
    <col min="8440" max="8442" width="9.28515625" style="1" customWidth="1"/>
    <col min="8443" max="8445" width="8.7109375" style="1"/>
    <col min="8446" max="8446" width="0" style="1" hidden="1" customWidth="1"/>
    <col min="8447" max="8693" width="8.7109375" style="1"/>
    <col min="8694" max="8694" width="41.28515625" style="1" customWidth="1"/>
    <col min="8695" max="8695" width="5.42578125" style="1" customWidth="1"/>
    <col min="8696" max="8698" width="9.28515625" style="1" customWidth="1"/>
    <col min="8699" max="8701" width="8.7109375" style="1"/>
    <col min="8702" max="8702" width="0" style="1" hidden="1" customWidth="1"/>
    <col min="8703" max="8949" width="8.7109375" style="1"/>
    <col min="8950" max="8950" width="41.28515625" style="1" customWidth="1"/>
    <col min="8951" max="8951" width="5.42578125" style="1" customWidth="1"/>
    <col min="8952" max="8954" width="9.28515625" style="1" customWidth="1"/>
    <col min="8955" max="8957" width="8.7109375" style="1"/>
    <col min="8958" max="8958" width="0" style="1" hidden="1" customWidth="1"/>
    <col min="8959" max="9205" width="8.7109375" style="1"/>
    <col min="9206" max="9206" width="41.28515625" style="1" customWidth="1"/>
    <col min="9207" max="9207" width="5.42578125" style="1" customWidth="1"/>
    <col min="9208" max="9210" width="9.28515625" style="1" customWidth="1"/>
    <col min="9211" max="9213" width="8.7109375" style="1"/>
    <col min="9214" max="9214" width="0" style="1" hidden="1" customWidth="1"/>
    <col min="9215" max="9461" width="8.7109375" style="1"/>
    <col min="9462" max="9462" width="41.28515625" style="1" customWidth="1"/>
    <col min="9463" max="9463" width="5.42578125" style="1" customWidth="1"/>
    <col min="9464" max="9466" width="9.28515625" style="1" customWidth="1"/>
    <col min="9467" max="9469" width="8.7109375" style="1"/>
    <col min="9470" max="9470" width="0" style="1" hidden="1" customWidth="1"/>
    <col min="9471" max="9717" width="8.7109375" style="1"/>
    <col min="9718" max="9718" width="41.28515625" style="1" customWidth="1"/>
    <col min="9719" max="9719" width="5.42578125" style="1" customWidth="1"/>
    <col min="9720" max="9722" width="9.28515625" style="1" customWidth="1"/>
    <col min="9723" max="9725" width="8.7109375" style="1"/>
    <col min="9726" max="9726" width="0" style="1" hidden="1" customWidth="1"/>
    <col min="9727" max="9973" width="8.7109375" style="1"/>
    <col min="9974" max="9974" width="41.28515625" style="1" customWidth="1"/>
    <col min="9975" max="9975" width="5.42578125" style="1" customWidth="1"/>
    <col min="9976" max="9978" width="9.28515625" style="1" customWidth="1"/>
    <col min="9979" max="9981" width="8.7109375" style="1"/>
    <col min="9982" max="9982" width="0" style="1" hidden="1" customWidth="1"/>
    <col min="9983" max="10229" width="8.7109375" style="1"/>
    <col min="10230" max="10230" width="41.28515625" style="1" customWidth="1"/>
    <col min="10231" max="10231" width="5.42578125" style="1" customWidth="1"/>
    <col min="10232" max="10234" width="9.28515625" style="1" customWidth="1"/>
    <col min="10235" max="10237" width="8.7109375" style="1"/>
    <col min="10238" max="10238" width="0" style="1" hidden="1" customWidth="1"/>
    <col min="10239" max="10485" width="8.7109375" style="1"/>
    <col min="10486" max="10486" width="41.28515625" style="1" customWidth="1"/>
    <col min="10487" max="10487" width="5.42578125" style="1" customWidth="1"/>
    <col min="10488" max="10490" width="9.28515625" style="1" customWidth="1"/>
    <col min="10491" max="10493" width="8.7109375" style="1"/>
    <col min="10494" max="10494" width="0" style="1" hidden="1" customWidth="1"/>
    <col min="10495" max="10741" width="8.7109375" style="1"/>
    <col min="10742" max="10742" width="41.28515625" style="1" customWidth="1"/>
    <col min="10743" max="10743" width="5.42578125" style="1" customWidth="1"/>
    <col min="10744" max="10746" width="9.28515625" style="1" customWidth="1"/>
    <col min="10747" max="10749" width="8.7109375" style="1"/>
    <col min="10750" max="10750" width="0" style="1" hidden="1" customWidth="1"/>
    <col min="10751" max="10997" width="8.7109375" style="1"/>
    <col min="10998" max="10998" width="41.28515625" style="1" customWidth="1"/>
    <col min="10999" max="10999" width="5.42578125" style="1" customWidth="1"/>
    <col min="11000" max="11002" width="9.28515625" style="1" customWidth="1"/>
    <col min="11003" max="11005" width="8.7109375" style="1"/>
    <col min="11006" max="11006" width="0" style="1" hidden="1" customWidth="1"/>
    <col min="11007" max="11253" width="8.7109375" style="1"/>
    <col min="11254" max="11254" width="41.28515625" style="1" customWidth="1"/>
    <col min="11255" max="11255" width="5.42578125" style="1" customWidth="1"/>
    <col min="11256" max="11258" width="9.28515625" style="1" customWidth="1"/>
    <col min="11259" max="11261" width="8.7109375" style="1"/>
    <col min="11262" max="11262" width="0" style="1" hidden="1" customWidth="1"/>
    <col min="11263" max="11509" width="8.7109375" style="1"/>
    <col min="11510" max="11510" width="41.28515625" style="1" customWidth="1"/>
    <col min="11511" max="11511" width="5.42578125" style="1" customWidth="1"/>
    <col min="11512" max="11514" width="9.28515625" style="1" customWidth="1"/>
    <col min="11515" max="11517" width="8.7109375" style="1"/>
    <col min="11518" max="11518" width="0" style="1" hidden="1" customWidth="1"/>
    <col min="11519" max="11765" width="8.7109375" style="1"/>
    <col min="11766" max="11766" width="41.28515625" style="1" customWidth="1"/>
    <col min="11767" max="11767" width="5.42578125" style="1" customWidth="1"/>
    <col min="11768" max="11770" width="9.28515625" style="1" customWidth="1"/>
    <col min="11771" max="11773" width="8.7109375" style="1"/>
    <col min="11774" max="11774" width="0" style="1" hidden="1" customWidth="1"/>
    <col min="11775" max="12021" width="8.7109375" style="1"/>
    <col min="12022" max="12022" width="41.28515625" style="1" customWidth="1"/>
    <col min="12023" max="12023" width="5.42578125" style="1" customWidth="1"/>
    <col min="12024" max="12026" width="9.28515625" style="1" customWidth="1"/>
    <col min="12027" max="12029" width="8.7109375" style="1"/>
    <col min="12030" max="12030" width="0" style="1" hidden="1" customWidth="1"/>
    <col min="12031" max="12277" width="8.7109375" style="1"/>
    <col min="12278" max="12278" width="41.28515625" style="1" customWidth="1"/>
    <col min="12279" max="12279" width="5.42578125" style="1" customWidth="1"/>
    <col min="12280" max="12282" width="9.28515625" style="1" customWidth="1"/>
    <col min="12283" max="12285" width="8.7109375" style="1"/>
    <col min="12286" max="12286" width="0" style="1" hidden="1" customWidth="1"/>
    <col min="12287" max="12533" width="8.7109375" style="1"/>
    <col min="12534" max="12534" width="41.28515625" style="1" customWidth="1"/>
    <col min="12535" max="12535" width="5.42578125" style="1" customWidth="1"/>
    <col min="12536" max="12538" width="9.28515625" style="1" customWidth="1"/>
    <col min="12539" max="12541" width="8.7109375" style="1"/>
    <col min="12542" max="12542" width="0" style="1" hidden="1" customWidth="1"/>
    <col min="12543" max="12789" width="8.7109375" style="1"/>
    <col min="12790" max="12790" width="41.28515625" style="1" customWidth="1"/>
    <col min="12791" max="12791" width="5.42578125" style="1" customWidth="1"/>
    <col min="12792" max="12794" width="9.28515625" style="1" customWidth="1"/>
    <col min="12795" max="12797" width="8.7109375" style="1"/>
    <col min="12798" max="12798" width="0" style="1" hidden="1" customWidth="1"/>
    <col min="12799" max="13045" width="8.7109375" style="1"/>
    <col min="13046" max="13046" width="41.28515625" style="1" customWidth="1"/>
    <col min="13047" max="13047" width="5.42578125" style="1" customWidth="1"/>
    <col min="13048" max="13050" width="9.28515625" style="1" customWidth="1"/>
    <col min="13051" max="13053" width="8.7109375" style="1"/>
    <col min="13054" max="13054" width="0" style="1" hidden="1" customWidth="1"/>
    <col min="13055" max="13301" width="8.7109375" style="1"/>
    <col min="13302" max="13302" width="41.28515625" style="1" customWidth="1"/>
    <col min="13303" max="13303" width="5.42578125" style="1" customWidth="1"/>
    <col min="13304" max="13306" width="9.28515625" style="1" customWidth="1"/>
    <col min="13307" max="13309" width="8.7109375" style="1"/>
    <col min="13310" max="13310" width="0" style="1" hidden="1" customWidth="1"/>
    <col min="13311" max="13557" width="8.7109375" style="1"/>
    <col min="13558" max="13558" width="41.28515625" style="1" customWidth="1"/>
    <col min="13559" max="13559" width="5.42578125" style="1" customWidth="1"/>
    <col min="13560" max="13562" width="9.28515625" style="1" customWidth="1"/>
    <col min="13563" max="13565" width="8.7109375" style="1"/>
    <col min="13566" max="13566" width="0" style="1" hidden="1" customWidth="1"/>
    <col min="13567" max="13813" width="8.7109375" style="1"/>
    <col min="13814" max="13814" width="41.28515625" style="1" customWidth="1"/>
    <col min="13815" max="13815" width="5.42578125" style="1" customWidth="1"/>
    <col min="13816" max="13818" width="9.28515625" style="1" customWidth="1"/>
    <col min="13819" max="13821" width="8.7109375" style="1"/>
    <col min="13822" max="13822" width="0" style="1" hidden="1" customWidth="1"/>
    <col min="13823" max="14069" width="8.7109375" style="1"/>
    <col min="14070" max="14070" width="41.28515625" style="1" customWidth="1"/>
    <col min="14071" max="14071" width="5.42578125" style="1" customWidth="1"/>
    <col min="14072" max="14074" width="9.28515625" style="1" customWidth="1"/>
    <col min="14075" max="14077" width="8.7109375" style="1"/>
    <col min="14078" max="14078" width="0" style="1" hidden="1" customWidth="1"/>
    <col min="14079" max="14325" width="8.7109375" style="1"/>
    <col min="14326" max="14326" width="41.28515625" style="1" customWidth="1"/>
    <col min="14327" max="14327" width="5.42578125" style="1" customWidth="1"/>
    <col min="14328" max="14330" width="9.28515625" style="1" customWidth="1"/>
    <col min="14331" max="14333" width="8.7109375" style="1"/>
    <col min="14334" max="14334" width="0" style="1" hidden="1" customWidth="1"/>
    <col min="14335" max="14581" width="8.7109375" style="1"/>
    <col min="14582" max="14582" width="41.28515625" style="1" customWidth="1"/>
    <col min="14583" max="14583" width="5.42578125" style="1" customWidth="1"/>
    <col min="14584" max="14586" width="9.28515625" style="1" customWidth="1"/>
    <col min="14587" max="14589" width="8.7109375" style="1"/>
    <col min="14590" max="14590" width="0" style="1" hidden="1" customWidth="1"/>
    <col min="14591" max="14837" width="8.7109375" style="1"/>
    <col min="14838" max="14838" width="41.28515625" style="1" customWidth="1"/>
    <col min="14839" max="14839" width="5.42578125" style="1" customWidth="1"/>
    <col min="14840" max="14842" width="9.28515625" style="1" customWidth="1"/>
    <col min="14843" max="14845" width="8.7109375" style="1"/>
    <col min="14846" max="14846" width="0" style="1" hidden="1" customWidth="1"/>
    <col min="14847" max="15093" width="8.7109375" style="1"/>
    <col min="15094" max="15094" width="41.28515625" style="1" customWidth="1"/>
    <col min="15095" max="15095" width="5.42578125" style="1" customWidth="1"/>
    <col min="15096" max="15098" width="9.28515625" style="1" customWidth="1"/>
    <col min="15099" max="15101" width="8.7109375" style="1"/>
    <col min="15102" max="15102" width="0" style="1" hidden="1" customWidth="1"/>
    <col min="15103" max="15349" width="8.7109375" style="1"/>
    <col min="15350" max="15350" width="41.28515625" style="1" customWidth="1"/>
    <col min="15351" max="15351" width="5.42578125" style="1" customWidth="1"/>
    <col min="15352" max="15354" width="9.28515625" style="1" customWidth="1"/>
    <col min="15355" max="15357" width="8.7109375" style="1"/>
    <col min="15358" max="15358" width="0" style="1" hidden="1" customWidth="1"/>
    <col min="15359" max="15605" width="8.7109375" style="1"/>
    <col min="15606" max="15606" width="41.28515625" style="1" customWidth="1"/>
    <col min="15607" max="15607" width="5.42578125" style="1" customWidth="1"/>
    <col min="15608" max="15610" width="9.28515625" style="1" customWidth="1"/>
    <col min="15611" max="15613" width="8.7109375" style="1"/>
    <col min="15614" max="15614" width="0" style="1" hidden="1" customWidth="1"/>
    <col min="15615" max="15861" width="8.7109375" style="1"/>
    <col min="15862" max="15862" width="41.28515625" style="1" customWidth="1"/>
    <col min="15863" max="15863" width="5.42578125" style="1" customWidth="1"/>
    <col min="15864" max="15866" width="9.28515625" style="1" customWidth="1"/>
    <col min="15867" max="15869" width="8.7109375" style="1"/>
    <col min="15870" max="15870" width="0" style="1" hidden="1" customWidth="1"/>
    <col min="15871" max="16117" width="8.7109375" style="1"/>
    <col min="16118" max="16118" width="41.28515625" style="1" customWidth="1"/>
    <col min="16119" max="16119" width="5.42578125" style="1" customWidth="1"/>
    <col min="16120" max="16122" width="9.28515625" style="1" customWidth="1"/>
    <col min="16123" max="16125" width="8.7109375" style="1"/>
    <col min="16126" max="16126" width="0" style="1" hidden="1" customWidth="1"/>
    <col min="16127" max="16384" width="8.7109375" style="1"/>
  </cols>
  <sheetData>
    <row r="1" spans="1:29" ht="13.9" customHeight="1" x14ac:dyDescent="0.2">
      <c r="A1" s="3"/>
      <c r="B1" s="4"/>
      <c r="C1" s="4"/>
      <c r="D1" s="4"/>
      <c r="J1" s="94"/>
      <c r="K1" s="94"/>
      <c r="L1" s="94"/>
      <c r="M1" s="94"/>
    </row>
    <row r="2" spans="1:29" ht="13.9" customHeight="1" x14ac:dyDescent="0.2">
      <c r="A2" s="93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79</v>
      </c>
      <c r="N2" s="90" t="s">
        <v>80</v>
      </c>
      <c r="O2" s="90" t="s">
        <v>82</v>
      </c>
      <c r="P2" s="90" t="s">
        <v>83</v>
      </c>
      <c r="Q2" s="90" t="s">
        <v>84</v>
      </c>
      <c r="R2" s="90" t="s">
        <v>87</v>
      </c>
      <c r="S2" s="90" t="s">
        <v>88</v>
      </c>
      <c r="T2" s="90" t="s">
        <v>90</v>
      </c>
      <c r="U2" s="90" t="s">
        <v>91</v>
      </c>
      <c r="V2" s="90" t="s">
        <v>95</v>
      </c>
      <c r="W2" s="90" t="s">
        <v>97</v>
      </c>
      <c r="X2" s="90" t="s">
        <v>98</v>
      </c>
      <c r="Y2" s="90" t="s">
        <v>100</v>
      </c>
      <c r="Z2" s="90" t="s">
        <v>101</v>
      </c>
      <c r="AA2" s="90" t="s">
        <v>102</v>
      </c>
    </row>
    <row r="3" spans="1:29" ht="13.9" customHeight="1" x14ac:dyDescent="0.2">
      <c r="A3" s="9" t="s">
        <v>11</v>
      </c>
      <c r="B3" s="33">
        <v>49.5</v>
      </c>
      <c r="C3" s="33">
        <v>92.699999999999989</v>
      </c>
      <c r="D3" s="33">
        <v>282.39999999999998</v>
      </c>
      <c r="E3" s="33">
        <v>22.2</v>
      </c>
      <c r="F3" s="33">
        <v>32</v>
      </c>
      <c r="G3" s="33">
        <v>38.299999999999997</v>
      </c>
      <c r="H3" s="33">
        <f>+I3-E3-F3-G3</f>
        <v>67.800000000000026</v>
      </c>
      <c r="I3" s="74">
        <v>160.30000000000001</v>
      </c>
      <c r="J3" s="74">
        <v>54.1</v>
      </c>
      <c r="K3" s="74">
        <v>89.8</v>
      </c>
      <c r="L3" s="74">
        <v>23.9</v>
      </c>
      <c r="M3" s="74">
        <v>103.7</v>
      </c>
      <c r="N3" s="74">
        <f>+J3+K3+L3+M3</f>
        <v>271.5</v>
      </c>
      <c r="O3" s="74">
        <v>111</v>
      </c>
      <c r="P3" s="74">
        <v>12.2</v>
      </c>
      <c r="Q3" s="74">
        <v>95.4</v>
      </c>
      <c r="R3" s="74">
        <v>59</v>
      </c>
      <c r="S3" s="74">
        <f>+O3+P3+Q3+R3</f>
        <v>277.60000000000002</v>
      </c>
      <c r="T3" s="74">
        <v>78.900000000000006</v>
      </c>
      <c r="U3" s="74">
        <v>90.9</v>
      </c>
      <c r="V3" s="74">
        <v>87.9</v>
      </c>
      <c r="W3" s="74">
        <v>249.6</v>
      </c>
      <c r="X3" s="74">
        <f>+T3+U3+V3+W3</f>
        <v>507.30000000000007</v>
      </c>
      <c r="Y3" s="74">
        <v>181.7</v>
      </c>
      <c r="Z3" s="74">
        <v>164.4</v>
      </c>
      <c r="AA3" s="51">
        <v>215.4</v>
      </c>
      <c r="AB3" s="105"/>
    </row>
    <row r="4" spans="1:29" s="2" customFormat="1" ht="13.9" customHeight="1" x14ac:dyDescent="0.2">
      <c r="A4" s="10" t="s">
        <v>12</v>
      </c>
      <c r="B4" s="33">
        <v>-14.399999999999999</v>
      </c>
      <c r="C4" s="33">
        <v>-35.400000000000006</v>
      </c>
      <c r="D4" s="33">
        <v>-90.7</v>
      </c>
      <c r="E4" s="33">
        <v>-7.4</v>
      </c>
      <c r="F4" s="33">
        <v>-10.299999999999999</v>
      </c>
      <c r="G4" s="33">
        <v>-16.100000000000001</v>
      </c>
      <c r="H4" s="33">
        <f t="shared" ref="H4:H24" si="0">+I4-E4-F4-G4</f>
        <v>-39.499999999999993</v>
      </c>
      <c r="I4" s="74">
        <v>-73.3</v>
      </c>
      <c r="J4" s="74">
        <v>-20.9</v>
      </c>
      <c r="K4" s="74">
        <v>-42.8</v>
      </c>
      <c r="L4" s="74">
        <v>-15.599999999999998</v>
      </c>
      <c r="M4" s="74">
        <f>58.8-103.7-0.1</f>
        <v>-45.000000000000007</v>
      </c>
      <c r="N4" s="74">
        <f t="shared" ref="N4:N21" si="1">+J4+K4+L4+M4</f>
        <v>-124.30000000000001</v>
      </c>
      <c r="O4" s="74">
        <v>-45.5</v>
      </c>
      <c r="P4" s="74">
        <v>-6.7</v>
      </c>
      <c r="Q4" s="74">
        <v>-33.9</v>
      </c>
      <c r="R4" s="74">
        <v>-37.299999999999997</v>
      </c>
      <c r="S4" s="74">
        <f>+O4+P4+Q4+R4</f>
        <v>-123.39999999999999</v>
      </c>
      <c r="T4" s="74">
        <v>-60.4</v>
      </c>
      <c r="U4" s="74">
        <v>-51.6</v>
      </c>
      <c r="V4" s="74">
        <v>-38.200000000000003</v>
      </c>
      <c r="W4" s="74">
        <v>-116.2</v>
      </c>
      <c r="X4" s="74">
        <f>+T4+U4+V4+W4+0.1</f>
        <v>-266.29999999999995</v>
      </c>
      <c r="Y4" s="74">
        <v>-72</v>
      </c>
      <c r="Z4" s="74">
        <v>-88.5</v>
      </c>
      <c r="AA4" s="51">
        <v>-85.4</v>
      </c>
      <c r="AB4" s="105"/>
      <c r="AC4" s="98"/>
    </row>
    <row r="5" spans="1:29" s="2" customFormat="1" ht="13.9" customHeight="1" x14ac:dyDescent="0.2">
      <c r="A5" s="11" t="s">
        <v>13</v>
      </c>
      <c r="B5" s="34">
        <v>35.1</v>
      </c>
      <c r="C5" s="34">
        <v>57.299999999999983</v>
      </c>
      <c r="D5" s="34">
        <f t="shared" ref="D5" si="2">SUM(D3:D4)</f>
        <v>191.7</v>
      </c>
      <c r="E5" s="34">
        <f t="shared" ref="E5" si="3">SUM(E3:E4)</f>
        <v>14.799999999999999</v>
      </c>
      <c r="F5" s="34">
        <v>21.700000000000003</v>
      </c>
      <c r="G5" s="34">
        <v>22.199999999999996</v>
      </c>
      <c r="H5" s="34">
        <f t="shared" si="0"/>
        <v>28.300000000000018</v>
      </c>
      <c r="I5" s="75">
        <f t="shared" ref="I5" si="4">SUM(I3:I4)</f>
        <v>87.000000000000014</v>
      </c>
      <c r="J5" s="75">
        <f t="shared" ref="J5:K5" si="5">SUM(J3:J4)</f>
        <v>33.200000000000003</v>
      </c>
      <c r="K5" s="75">
        <f t="shared" si="5"/>
        <v>47</v>
      </c>
      <c r="L5" s="75">
        <v>8.3000000000000007</v>
      </c>
      <c r="M5" s="75">
        <f t="shared" ref="M5" si="6">SUM(M3:M4)</f>
        <v>58.699999999999996</v>
      </c>
      <c r="N5" s="75">
        <f t="shared" si="1"/>
        <v>147.19999999999999</v>
      </c>
      <c r="O5" s="75">
        <v>65.5</v>
      </c>
      <c r="P5" s="75">
        <v>5.4999999999999991</v>
      </c>
      <c r="Q5" s="75">
        <f t="shared" ref="Q5:S5" si="7">SUM(Q3:Q4)</f>
        <v>61.500000000000007</v>
      </c>
      <c r="R5" s="75">
        <f t="shared" si="7"/>
        <v>21.700000000000003</v>
      </c>
      <c r="S5" s="75">
        <f t="shared" si="7"/>
        <v>154.20000000000005</v>
      </c>
      <c r="T5" s="75">
        <f t="shared" ref="T5:X5" si="8">SUM(T3:T4)</f>
        <v>18.500000000000007</v>
      </c>
      <c r="U5" s="75">
        <v>39.300000000000004</v>
      </c>
      <c r="V5" s="75">
        <v>49.7</v>
      </c>
      <c r="W5" s="75">
        <f>SUM(W3:W4)</f>
        <v>133.39999999999998</v>
      </c>
      <c r="X5" s="75">
        <f t="shared" si="8"/>
        <v>241.00000000000011</v>
      </c>
      <c r="Y5" s="75">
        <v>109.69999999999999</v>
      </c>
      <c r="Z5" s="75">
        <v>75.900000000000006</v>
      </c>
      <c r="AA5" s="35">
        <f t="shared" ref="AA5" si="9">SUM(AA3:AA4)</f>
        <v>130</v>
      </c>
      <c r="AB5" s="105"/>
    </row>
    <row r="6" spans="1:29" ht="13.9" customHeight="1" x14ac:dyDescent="0.2">
      <c r="A6" s="12"/>
      <c r="B6" s="52"/>
      <c r="C6" s="52"/>
      <c r="D6" s="52"/>
      <c r="E6" s="52"/>
      <c r="F6" s="52"/>
      <c r="G6" s="52"/>
      <c r="H6" s="5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53"/>
      <c r="AB6" s="105"/>
    </row>
    <row r="7" spans="1:29" ht="13.9" customHeight="1" x14ac:dyDescent="0.2">
      <c r="A7" s="10" t="s">
        <v>14</v>
      </c>
      <c r="B7" s="33">
        <v>-13.5</v>
      </c>
      <c r="C7" s="33">
        <v>-21.199999999999996</v>
      </c>
      <c r="D7" s="33">
        <v>-74.099999999999994</v>
      </c>
      <c r="E7" s="33">
        <v>-14.2</v>
      </c>
      <c r="F7" s="33">
        <v>-17.700000000000003</v>
      </c>
      <c r="G7" s="33">
        <v>-17.599999999999994</v>
      </c>
      <c r="H7" s="33">
        <f t="shared" si="0"/>
        <v>-20.799999999999997</v>
      </c>
      <c r="I7" s="74">
        <v>-70.3</v>
      </c>
      <c r="J7" s="74">
        <v>-15.7</v>
      </c>
      <c r="K7" s="74">
        <v>-18.600000000000001</v>
      </c>
      <c r="L7" s="74">
        <v>-7.2</v>
      </c>
      <c r="M7" s="74">
        <v>-19.899999999999999</v>
      </c>
      <c r="N7" s="74">
        <f t="shared" si="1"/>
        <v>-61.4</v>
      </c>
      <c r="O7" s="74">
        <v>-18.2</v>
      </c>
      <c r="P7" s="74">
        <v>-7.9</v>
      </c>
      <c r="Q7" s="74">
        <v>-15</v>
      </c>
      <c r="R7" s="74">
        <v>-14.8</v>
      </c>
      <c r="S7" s="74">
        <f>+O7+P7+Q7+R7</f>
        <v>-55.900000000000006</v>
      </c>
      <c r="T7" s="74">
        <v>-14</v>
      </c>
      <c r="U7" s="74">
        <v>-16.8</v>
      </c>
      <c r="V7" s="74">
        <v>-22.7</v>
      </c>
      <c r="W7" s="74">
        <v>-40.6</v>
      </c>
      <c r="X7" s="74">
        <f t="shared" ref="X7:X10" si="10">+T7+U7+V7+W7</f>
        <v>-94.1</v>
      </c>
      <c r="Y7" s="74">
        <v>-35.200000000000003</v>
      </c>
      <c r="Z7" s="74">
        <v>-33.200000000000003</v>
      </c>
      <c r="AA7" s="51">
        <v>-50</v>
      </c>
      <c r="AB7" s="105"/>
    </row>
    <row r="8" spans="1:29" ht="13.9" customHeight="1" x14ac:dyDescent="0.2">
      <c r="A8" s="10" t="s">
        <v>15</v>
      </c>
      <c r="B8" s="33">
        <v>-0.2</v>
      </c>
      <c r="C8" s="33">
        <v>-9.9999999999999978E-2</v>
      </c>
      <c r="D8" s="33">
        <v>-0.6</v>
      </c>
      <c r="E8" s="33">
        <v>-0.2</v>
      </c>
      <c r="F8" s="33">
        <v>-9.9999999999999978E-2</v>
      </c>
      <c r="G8" s="33">
        <v>-0.2</v>
      </c>
      <c r="H8" s="33">
        <f t="shared" si="0"/>
        <v>-9.9999999999999978E-2</v>
      </c>
      <c r="I8" s="74">
        <v>-0.6</v>
      </c>
      <c r="J8" s="74">
        <v>-0.1</v>
      </c>
      <c r="K8" s="74">
        <v>-0.2</v>
      </c>
      <c r="L8" s="74">
        <v>-0.2</v>
      </c>
      <c r="M8" s="74">
        <v>-0.2</v>
      </c>
      <c r="N8" s="74">
        <f t="shared" si="1"/>
        <v>-0.7</v>
      </c>
      <c r="O8" s="74">
        <v>-1</v>
      </c>
      <c r="P8" s="74">
        <v>-1.1000000000000001</v>
      </c>
      <c r="Q8" s="74">
        <v>-1.1000000000000001</v>
      </c>
      <c r="R8" s="74">
        <v>-1</v>
      </c>
      <c r="S8" s="74">
        <f>+O8+P8+Q8+R8</f>
        <v>-4.2</v>
      </c>
      <c r="T8" s="74">
        <v>-1</v>
      </c>
      <c r="U8" s="74">
        <v>-1</v>
      </c>
      <c r="V8" s="74">
        <v>-1</v>
      </c>
      <c r="W8" s="74">
        <v>-2.4</v>
      </c>
      <c r="X8" s="74">
        <f t="shared" si="10"/>
        <v>-5.4</v>
      </c>
      <c r="Y8" s="74">
        <v>-1.6</v>
      </c>
      <c r="Z8" s="74">
        <v>-2.2000000000000002</v>
      </c>
      <c r="AA8" s="51">
        <v>-1.6</v>
      </c>
      <c r="AB8" s="105"/>
    </row>
    <row r="9" spans="1:29" ht="13.9" customHeight="1" x14ac:dyDescent="0.2">
      <c r="A9" s="10" t="s">
        <v>16</v>
      </c>
      <c r="B9" s="13">
        <v>0</v>
      </c>
      <c r="C9" s="13">
        <v>0</v>
      </c>
      <c r="D9" s="13">
        <v>0</v>
      </c>
      <c r="E9" s="13">
        <v>-10.7</v>
      </c>
      <c r="F9" s="13">
        <v>0</v>
      </c>
      <c r="G9" s="13">
        <v>0</v>
      </c>
      <c r="H9" s="13">
        <f t="shared" si="0"/>
        <v>-2.5</v>
      </c>
      <c r="I9" s="13">
        <v>-13.2</v>
      </c>
      <c r="J9" s="13">
        <v>0</v>
      </c>
      <c r="K9" s="13">
        <v>0</v>
      </c>
      <c r="L9" s="13">
        <v>0</v>
      </c>
      <c r="M9" s="13">
        <v>13.3</v>
      </c>
      <c r="N9" s="13">
        <f t="shared" si="1"/>
        <v>13.3</v>
      </c>
      <c r="O9" s="13">
        <v>0</v>
      </c>
      <c r="P9" s="13">
        <v>0</v>
      </c>
      <c r="Q9" s="13">
        <v>0</v>
      </c>
      <c r="R9" s="74">
        <v>0</v>
      </c>
      <c r="S9" s="74">
        <f>+O9+P9+Q9+R9</f>
        <v>0</v>
      </c>
      <c r="T9" s="74">
        <v>0</v>
      </c>
      <c r="U9" s="74">
        <v>0</v>
      </c>
      <c r="V9" s="74">
        <v>0</v>
      </c>
      <c r="W9" s="74">
        <v>-0.4</v>
      </c>
      <c r="X9" s="74">
        <f t="shared" si="10"/>
        <v>-0.4</v>
      </c>
      <c r="Y9" s="74">
        <v>0</v>
      </c>
      <c r="Z9" s="74">
        <v>0</v>
      </c>
      <c r="AA9" s="51">
        <v>0</v>
      </c>
      <c r="AB9" s="105"/>
    </row>
    <row r="10" spans="1:29" ht="13.9" customHeight="1" x14ac:dyDescent="0.2">
      <c r="A10" s="10" t="s">
        <v>17</v>
      </c>
      <c r="B10" s="13">
        <v>0</v>
      </c>
      <c r="C10" s="13">
        <v>0</v>
      </c>
      <c r="D10" s="13">
        <v>0.3</v>
      </c>
      <c r="E10" s="13">
        <v>-1.2</v>
      </c>
      <c r="F10" s="13">
        <v>0</v>
      </c>
      <c r="G10" s="13">
        <v>0</v>
      </c>
      <c r="H10" s="13">
        <f t="shared" si="0"/>
        <v>0</v>
      </c>
      <c r="I10" s="13">
        <v>-1.2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74">
        <v>0</v>
      </c>
      <c r="S10" s="74">
        <f>+O10+P10+Q10+R10</f>
        <v>0</v>
      </c>
      <c r="T10" s="74">
        <v>0</v>
      </c>
      <c r="U10" s="74">
        <v>0</v>
      </c>
      <c r="V10" s="74">
        <v>0</v>
      </c>
      <c r="W10" s="74">
        <v>0</v>
      </c>
      <c r="X10" s="74">
        <f t="shared" si="10"/>
        <v>0</v>
      </c>
      <c r="Y10" s="74">
        <v>0.2</v>
      </c>
      <c r="Z10" s="74">
        <v>0</v>
      </c>
      <c r="AA10" s="51">
        <v>0</v>
      </c>
      <c r="AB10" s="105"/>
    </row>
    <row r="11" spans="1:29" ht="13.9" customHeight="1" x14ac:dyDescent="0.2">
      <c r="A11" s="11" t="s">
        <v>18</v>
      </c>
      <c r="B11" s="34">
        <v>21.400000000000002</v>
      </c>
      <c r="C11" s="34">
        <v>35.999999999999986</v>
      </c>
      <c r="D11" s="34">
        <f>SUM(D5:D10)</f>
        <v>117.3</v>
      </c>
      <c r="E11" s="34">
        <f>SUM(E5:E10)</f>
        <v>-11.499999999999998</v>
      </c>
      <c r="F11" s="34">
        <v>3.9</v>
      </c>
      <c r="G11" s="34">
        <v>4.4000000000000012</v>
      </c>
      <c r="H11" s="34">
        <f t="shared" si="0"/>
        <v>4.9000000000000137</v>
      </c>
      <c r="I11" s="75">
        <f t="shared" ref="I11" si="11">SUM(I5:I10)</f>
        <v>1.7000000000000164</v>
      </c>
      <c r="J11" s="75">
        <f t="shared" ref="J11:K11" si="12">SUM(J5:J10)</f>
        <v>17.400000000000002</v>
      </c>
      <c r="K11" s="75">
        <f t="shared" si="12"/>
        <v>28.2</v>
      </c>
      <c r="L11" s="75">
        <v>0.90000000000000058</v>
      </c>
      <c r="M11" s="75">
        <f t="shared" ref="M11" si="13">SUM(M5:M10)</f>
        <v>51.899999999999991</v>
      </c>
      <c r="N11" s="75">
        <f t="shared" si="1"/>
        <v>98.399999999999991</v>
      </c>
      <c r="O11" s="75">
        <v>46.3</v>
      </c>
      <c r="P11" s="75">
        <v>-3.5000000000000013</v>
      </c>
      <c r="Q11" s="75">
        <f>SUM(Q5:Q10)</f>
        <v>45.400000000000006</v>
      </c>
      <c r="R11" s="75">
        <f t="shared" ref="R11:S11" si="14">SUM(R5:R10)</f>
        <v>5.9000000000000021</v>
      </c>
      <c r="S11" s="75">
        <f t="shared" si="14"/>
        <v>94.100000000000037</v>
      </c>
      <c r="T11" s="75">
        <f t="shared" ref="T11" si="15">SUM(T5:T10)</f>
        <v>3.5000000000000071</v>
      </c>
      <c r="U11" s="75">
        <v>21.500000000000004</v>
      </c>
      <c r="V11" s="75">
        <v>26.000000000000004</v>
      </c>
      <c r="W11" s="75">
        <f>SUM(W7:W10)+W5+0.1</f>
        <v>90.099999999999966</v>
      </c>
      <c r="X11" s="75">
        <f>SUM(X5:X10)</f>
        <v>141.10000000000011</v>
      </c>
      <c r="Y11" s="75">
        <v>73.099999999999994</v>
      </c>
      <c r="Z11" s="75">
        <v>40.5</v>
      </c>
      <c r="AA11" s="35">
        <f t="shared" ref="AA11" si="16">SUM(AA5:AA10)</f>
        <v>78.400000000000006</v>
      </c>
      <c r="AB11" s="105"/>
    </row>
    <row r="12" spans="1:29" ht="13.9" customHeight="1" x14ac:dyDescent="0.2">
      <c r="A12" s="14"/>
      <c r="B12" s="54"/>
      <c r="C12" s="54"/>
      <c r="D12" s="54"/>
      <c r="E12" s="54"/>
      <c r="F12" s="54"/>
      <c r="G12" s="54"/>
      <c r="H12" s="54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55"/>
      <c r="AB12" s="105"/>
    </row>
    <row r="13" spans="1:29" ht="13.9" customHeight="1" x14ac:dyDescent="0.2">
      <c r="A13" s="10" t="s">
        <v>19</v>
      </c>
      <c r="B13" s="33">
        <v>0.60000000000000009</v>
      </c>
      <c r="C13" s="33">
        <v>0.39999999999999991</v>
      </c>
      <c r="D13" s="33">
        <v>2</v>
      </c>
      <c r="E13" s="33">
        <v>0.4</v>
      </c>
      <c r="F13" s="33">
        <v>0.19999999999999996</v>
      </c>
      <c r="G13" s="33">
        <v>9.9999999999999978E-2</v>
      </c>
      <c r="H13" s="33">
        <f t="shared" si="0"/>
        <v>0.20000000000000007</v>
      </c>
      <c r="I13" s="74">
        <v>0.9</v>
      </c>
      <c r="J13" s="74">
        <v>0.2</v>
      </c>
      <c r="K13" s="74">
        <v>0.2</v>
      </c>
      <c r="L13" s="74">
        <v>0.2</v>
      </c>
      <c r="M13" s="74">
        <v>0.1</v>
      </c>
      <c r="N13" s="74">
        <f t="shared" si="1"/>
        <v>0.70000000000000007</v>
      </c>
      <c r="O13" s="74">
        <v>0.1</v>
      </c>
      <c r="P13" s="74">
        <v>0.1</v>
      </c>
      <c r="Q13" s="74">
        <v>0.3</v>
      </c>
      <c r="R13" s="74">
        <v>1.2</v>
      </c>
      <c r="S13" s="74">
        <f>+O13+P13+Q13+R13</f>
        <v>1.7</v>
      </c>
      <c r="T13" s="74">
        <v>1.6</v>
      </c>
      <c r="U13" s="74">
        <v>2</v>
      </c>
      <c r="V13" s="74">
        <v>2.5</v>
      </c>
      <c r="W13" s="74">
        <v>2.1</v>
      </c>
      <c r="X13" s="74">
        <f t="shared" ref="X13" si="17">+T13+U13+V13+W13</f>
        <v>8.1999999999999993</v>
      </c>
      <c r="Y13" s="74">
        <v>1.5</v>
      </c>
      <c r="Z13" s="74">
        <v>2.4</v>
      </c>
      <c r="AA13" s="51">
        <v>4.9000000000000004</v>
      </c>
      <c r="AB13" s="105"/>
      <c r="AC13" s="107"/>
    </row>
    <row r="14" spans="1:29" ht="13.9" customHeight="1" x14ac:dyDescent="0.2">
      <c r="A14" s="10" t="s">
        <v>20</v>
      </c>
      <c r="B14" s="33">
        <v>-0.2</v>
      </c>
      <c r="C14" s="33">
        <v>-0.29999999999999993</v>
      </c>
      <c r="D14" s="33">
        <v>-0.7</v>
      </c>
      <c r="E14" s="13">
        <v>0</v>
      </c>
      <c r="F14" s="13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  <c r="O14" s="13">
        <v>0</v>
      </c>
      <c r="P14" s="13">
        <v>0</v>
      </c>
      <c r="Q14" s="13">
        <v>0</v>
      </c>
      <c r="R14" s="74">
        <v>-0.5</v>
      </c>
      <c r="S14" s="74">
        <f>+O14+P14+Q14+R14</f>
        <v>-0.5</v>
      </c>
      <c r="T14" s="74">
        <v>-1.6</v>
      </c>
      <c r="U14" s="74">
        <v>-2.7</v>
      </c>
      <c r="V14" s="74">
        <v>-5</v>
      </c>
      <c r="W14" s="74">
        <f>+X14-T14-U14-V14</f>
        <v>0.99999999999999911</v>
      </c>
      <c r="X14" s="74">
        <v>-8.3000000000000007</v>
      </c>
      <c r="Y14" s="74">
        <v>-2.9</v>
      </c>
      <c r="Z14" s="74">
        <v>-5.6</v>
      </c>
      <c r="AA14" s="51">
        <v>-10.8</v>
      </c>
      <c r="AB14" s="105"/>
      <c r="AC14" s="107"/>
    </row>
    <row r="15" spans="1:29" ht="13.9" customHeight="1" x14ac:dyDescent="0.2">
      <c r="A15" s="10" t="s">
        <v>21</v>
      </c>
      <c r="B15" s="33">
        <v>-0.29999999999999982</v>
      </c>
      <c r="C15" s="33">
        <v>-1.6000000000000005</v>
      </c>
      <c r="D15" s="33">
        <f>2.1-9.4</f>
        <v>-7.3000000000000007</v>
      </c>
      <c r="E15" s="33">
        <v>-5.9</v>
      </c>
      <c r="F15" s="33">
        <v>-3.7999999999999989</v>
      </c>
      <c r="G15" s="33">
        <v>-2.9000000000000004</v>
      </c>
      <c r="H15" s="33">
        <f t="shared" si="0"/>
        <v>-2.2000000000000011</v>
      </c>
      <c r="I15" s="74">
        <v>-14.8</v>
      </c>
      <c r="J15" s="74">
        <v>0.1</v>
      </c>
      <c r="K15" s="74">
        <v>-3.9</v>
      </c>
      <c r="L15" s="74">
        <v>-3</v>
      </c>
      <c r="M15" s="74">
        <v>-3.5</v>
      </c>
      <c r="N15" s="74">
        <f t="shared" si="1"/>
        <v>-10.3</v>
      </c>
      <c r="O15" s="74">
        <v>-0.5</v>
      </c>
      <c r="P15" s="74">
        <v>-2.1</v>
      </c>
      <c r="Q15" s="74">
        <v>-2.4</v>
      </c>
      <c r="R15" s="74">
        <f>-7-R14</f>
        <v>-6.5</v>
      </c>
      <c r="S15" s="74">
        <f>+O15+P15+Q15+R15</f>
        <v>-11.5</v>
      </c>
      <c r="T15" s="74">
        <v>-3.3</v>
      </c>
      <c r="U15" s="74">
        <v>-5</v>
      </c>
      <c r="V15" s="74">
        <v>-6</v>
      </c>
      <c r="W15" s="74">
        <f>+X15-V15-U15-T15</f>
        <v>-4.2</v>
      </c>
      <c r="X15" s="74">
        <f>-17.7-0.7-0.1</f>
        <v>-18.5</v>
      </c>
      <c r="Y15" s="74">
        <v>-10.5</v>
      </c>
      <c r="Z15" s="74">
        <v>-6.5</v>
      </c>
      <c r="AA15" s="51">
        <v>-7.2</v>
      </c>
      <c r="AB15" s="105"/>
      <c r="AC15" s="107"/>
    </row>
    <row r="16" spans="1:29" ht="13.9" customHeight="1" x14ac:dyDescent="0.2">
      <c r="A16" s="11" t="s">
        <v>22</v>
      </c>
      <c r="B16" s="56">
        <v>0.10000000000000026</v>
      </c>
      <c r="C16" s="56">
        <v>-1.5000000000000004</v>
      </c>
      <c r="D16" s="56">
        <f t="shared" ref="D16:E16" si="18">SUM(D13:D15)</f>
        <v>-6.0000000000000009</v>
      </c>
      <c r="E16" s="56">
        <f t="shared" si="18"/>
        <v>-5.5</v>
      </c>
      <c r="F16" s="56">
        <v>-3.5999999999999988</v>
      </c>
      <c r="G16" s="56">
        <v>-2.8000000000000003</v>
      </c>
      <c r="H16" s="56">
        <f t="shared" si="0"/>
        <v>-2.0000000000000013</v>
      </c>
      <c r="I16" s="78">
        <f t="shared" ref="I16" si="19">SUM(I13:I15)</f>
        <v>-13.9</v>
      </c>
      <c r="J16" s="78">
        <f t="shared" ref="J16:K16" si="20">SUM(J13:J15)</f>
        <v>0.30000000000000004</v>
      </c>
      <c r="K16" s="78">
        <f t="shared" si="20"/>
        <v>-3.6999999999999997</v>
      </c>
      <c r="L16" s="78">
        <v>-2.8</v>
      </c>
      <c r="M16" s="78">
        <f t="shared" ref="M16" si="21">SUM(M13:M15)</f>
        <v>-3.4</v>
      </c>
      <c r="N16" s="78">
        <f t="shared" si="1"/>
        <v>-9.6</v>
      </c>
      <c r="O16" s="78">
        <v>-0.4</v>
      </c>
      <c r="P16" s="78">
        <v>-2</v>
      </c>
      <c r="Q16" s="78">
        <f t="shared" ref="Q16:S16" si="22">SUM(Q13:Q15)</f>
        <v>-2.1</v>
      </c>
      <c r="R16" s="78">
        <f t="shared" si="22"/>
        <v>-5.8</v>
      </c>
      <c r="S16" s="78">
        <f t="shared" si="22"/>
        <v>-10.3</v>
      </c>
      <c r="T16" s="78">
        <f t="shared" ref="T16" si="23">SUM(T13:T15)</f>
        <v>-3.3</v>
      </c>
      <c r="U16" s="78">
        <v>-5.7</v>
      </c>
      <c r="V16" s="78">
        <v>-8.5</v>
      </c>
      <c r="W16" s="78">
        <f>SUM(W13:W15)</f>
        <v>-1.100000000000001</v>
      </c>
      <c r="X16" s="78">
        <f>SUM(X13:X15)</f>
        <v>-18.600000000000001</v>
      </c>
      <c r="Y16" s="78">
        <v>-11.9</v>
      </c>
      <c r="Z16" s="78">
        <v>-9.6999999999999993</v>
      </c>
      <c r="AA16" s="57">
        <f t="shared" ref="AA16" si="24">SUM(AA13:AA15)</f>
        <v>-13.100000000000001</v>
      </c>
      <c r="AB16" s="105"/>
      <c r="AC16" s="107"/>
    </row>
    <row r="17" spans="1:29" ht="13.9" customHeight="1" x14ac:dyDescent="0.2">
      <c r="A17" s="16"/>
      <c r="B17" s="58"/>
      <c r="C17" s="58"/>
      <c r="D17" s="58"/>
      <c r="E17" s="58"/>
      <c r="F17" s="58"/>
      <c r="G17" s="58"/>
      <c r="H17" s="5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59"/>
      <c r="AB17" s="105"/>
      <c r="AC17" s="107"/>
    </row>
    <row r="18" spans="1:29" ht="13.9" customHeight="1" x14ac:dyDescent="0.2">
      <c r="A18" s="11" t="s">
        <v>23</v>
      </c>
      <c r="B18" s="56">
        <v>21.500000000000004</v>
      </c>
      <c r="C18" s="56">
        <v>34.499999999999986</v>
      </c>
      <c r="D18" s="56">
        <f t="shared" ref="D18:E18" si="25">+D11+D16</f>
        <v>111.3</v>
      </c>
      <c r="E18" s="56">
        <f t="shared" si="25"/>
        <v>-17</v>
      </c>
      <c r="F18" s="56">
        <v>0.30000000000000115</v>
      </c>
      <c r="G18" s="56">
        <v>1.600000000000001</v>
      </c>
      <c r="H18" s="56">
        <f t="shared" si="0"/>
        <v>2.900000000000015</v>
      </c>
      <c r="I18" s="78">
        <f t="shared" ref="I18" si="26">+I11+I16</f>
        <v>-12.199999999999983</v>
      </c>
      <c r="J18" s="78">
        <f t="shared" ref="J18:K18" si="27">+J11+J16</f>
        <v>17.700000000000003</v>
      </c>
      <c r="K18" s="78">
        <f t="shared" si="27"/>
        <v>24.5</v>
      </c>
      <c r="L18" s="78">
        <v>-1.8999999999999992</v>
      </c>
      <c r="M18" s="78">
        <f t="shared" ref="M18" si="28">+M11+M16</f>
        <v>48.499999999999993</v>
      </c>
      <c r="N18" s="78">
        <f t="shared" si="1"/>
        <v>88.8</v>
      </c>
      <c r="O18" s="78">
        <v>45.9</v>
      </c>
      <c r="P18" s="78">
        <v>-5.5000000000000018</v>
      </c>
      <c r="Q18" s="78">
        <f t="shared" ref="Q18:S18" si="29">+Q11+Q16</f>
        <v>43.300000000000004</v>
      </c>
      <c r="R18" s="78">
        <f t="shared" si="29"/>
        <v>0.10000000000000231</v>
      </c>
      <c r="S18" s="78">
        <f t="shared" si="29"/>
        <v>83.80000000000004</v>
      </c>
      <c r="T18" s="78">
        <f t="shared" ref="T18:X18" si="30">+T11+T16</f>
        <v>0.20000000000000728</v>
      </c>
      <c r="U18" s="78">
        <v>15.800000000000004</v>
      </c>
      <c r="V18" s="78">
        <v>17.500000000000004</v>
      </c>
      <c r="W18" s="78">
        <f>+W11+W16</f>
        <v>88.999999999999972</v>
      </c>
      <c r="X18" s="78">
        <f t="shared" si="30"/>
        <v>122.50000000000011</v>
      </c>
      <c r="Y18" s="78">
        <v>61.199999999999996</v>
      </c>
      <c r="Z18" s="78">
        <v>30.8</v>
      </c>
      <c r="AA18" s="57">
        <f t="shared" ref="AA18" si="31">+AA11+AA16</f>
        <v>65.300000000000011</v>
      </c>
      <c r="AB18" s="105"/>
      <c r="AC18" s="107"/>
    </row>
    <row r="19" spans="1:29" ht="13.9" customHeight="1" x14ac:dyDescent="0.2">
      <c r="A19" s="17"/>
      <c r="B19" s="52"/>
      <c r="C19" s="52"/>
      <c r="D19" s="52"/>
      <c r="E19" s="52"/>
      <c r="F19" s="52"/>
      <c r="G19" s="52"/>
      <c r="H19" s="5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53"/>
      <c r="AB19" s="105"/>
      <c r="AC19" s="107"/>
    </row>
    <row r="20" spans="1:29" ht="13.9" customHeight="1" x14ac:dyDescent="0.2">
      <c r="A20" s="10" t="s">
        <v>24</v>
      </c>
      <c r="B20" s="33">
        <v>-11.5</v>
      </c>
      <c r="C20" s="33">
        <v>-8.2999999999999972</v>
      </c>
      <c r="D20" s="33">
        <v>-38.799999999999997</v>
      </c>
      <c r="E20" s="33">
        <v>-6.6</v>
      </c>
      <c r="F20" s="33">
        <v>-5.9</v>
      </c>
      <c r="G20" s="33">
        <v>-8.3999999999999986</v>
      </c>
      <c r="H20" s="33">
        <f t="shared" si="0"/>
        <v>-8</v>
      </c>
      <c r="I20" s="74">
        <v>-28.9</v>
      </c>
      <c r="J20" s="74">
        <v>-9.6999999999999993</v>
      </c>
      <c r="K20" s="74">
        <v>-9</v>
      </c>
      <c r="L20" s="74">
        <v>-8.4</v>
      </c>
      <c r="M20" s="74">
        <v>-9.6999999999999993</v>
      </c>
      <c r="N20" s="74">
        <f t="shared" si="1"/>
        <v>-36.799999999999997</v>
      </c>
      <c r="O20" s="74">
        <v>-10.199999999999999</v>
      </c>
      <c r="P20" s="74">
        <v>-11</v>
      </c>
      <c r="Q20" s="74">
        <v>-9.5</v>
      </c>
      <c r="R20" s="74">
        <v>-8.1</v>
      </c>
      <c r="S20" s="74">
        <f>+O20+P20+Q20+R20</f>
        <v>-38.799999999999997</v>
      </c>
      <c r="T20" s="74">
        <v>-5.2</v>
      </c>
      <c r="U20" s="74">
        <v>-10.5</v>
      </c>
      <c r="V20" s="74">
        <v>-17</v>
      </c>
      <c r="W20" s="74">
        <v>-8.8000000000000007</v>
      </c>
      <c r="X20" s="74">
        <f>+T20+U20+V20+W20</f>
        <v>-41.5</v>
      </c>
      <c r="Y20" s="74">
        <v>-13.8</v>
      </c>
      <c r="Z20" s="74">
        <v>-16.3</v>
      </c>
      <c r="AA20" s="51">
        <v>-17.3</v>
      </c>
      <c r="AB20" s="105"/>
      <c r="AC20" s="107"/>
    </row>
    <row r="21" spans="1:29" ht="13.9" customHeight="1" x14ac:dyDescent="0.2">
      <c r="A21" s="11" t="s">
        <v>25</v>
      </c>
      <c r="B21" s="34">
        <v>10.000000000000004</v>
      </c>
      <c r="C21" s="34">
        <v>26.199999999999989</v>
      </c>
      <c r="D21" s="34">
        <f t="shared" ref="D21:E21" si="32">+D18+D20</f>
        <v>72.5</v>
      </c>
      <c r="E21" s="34">
        <f t="shared" si="32"/>
        <v>-23.6</v>
      </c>
      <c r="F21" s="34">
        <v>-5.6</v>
      </c>
      <c r="G21" s="34">
        <v>-6.7999999999999972</v>
      </c>
      <c r="H21" s="34">
        <f t="shared" si="0"/>
        <v>-5.0999999999999819</v>
      </c>
      <c r="I21" s="75">
        <f t="shared" ref="I21" si="33">+I18+I20</f>
        <v>-41.09999999999998</v>
      </c>
      <c r="J21" s="75">
        <f t="shared" ref="J21:K21" si="34">+J18+J20</f>
        <v>8.0000000000000036</v>
      </c>
      <c r="K21" s="75">
        <f t="shared" si="34"/>
        <v>15.5</v>
      </c>
      <c r="L21" s="75">
        <v>-10.299999999999999</v>
      </c>
      <c r="M21" s="75">
        <f t="shared" ref="M21" si="35">+M18+M20</f>
        <v>38.799999999999997</v>
      </c>
      <c r="N21" s="75">
        <f t="shared" si="1"/>
        <v>52</v>
      </c>
      <c r="O21" s="75">
        <v>35.700000000000003</v>
      </c>
      <c r="P21" s="75">
        <v>-16.5</v>
      </c>
      <c r="Q21" s="75">
        <f t="shared" ref="Q21:S21" si="36">+Q18+Q20</f>
        <v>33.800000000000004</v>
      </c>
      <c r="R21" s="75">
        <f t="shared" si="36"/>
        <v>-7.9999999999999973</v>
      </c>
      <c r="S21" s="75">
        <f t="shared" si="36"/>
        <v>45.000000000000043</v>
      </c>
      <c r="T21" s="75">
        <f t="shared" ref="T21:X21" si="37">+T18+T20</f>
        <v>-4.9999999999999929</v>
      </c>
      <c r="U21" s="75">
        <v>5.3000000000000043</v>
      </c>
      <c r="V21" s="75">
        <v>0.50000000000000355</v>
      </c>
      <c r="W21" s="75">
        <f>+W18+W20</f>
        <v>80.199999999999974</v>
      </c>
      <c r="X21" s="75">
        <f t="shared" si="37"/>
        <v>81.000000000000114</v>
      </c>
      <c r="Y21" s="75">
        <v>47.399999999999991</v>
      </c>
      <c r="Z21" s="75">
        <v>14.5</v>
      </c>
      <c r="AA21" s="35">
        <f t="shared" ref="AA21" si="38">+AA18+AA20</f>
        <v>48.000000000000014</v>
      </c>
      <c r="AB21" s="105"/>
      <c r="AC21" s="107"/>
    </row>
    <row r="22" spans="1:29" ht="13.9" customHeight="1" x14ac:dyDescent="0.2">
      <c r="A22" s="17"/>
      <c r="B22" s="60"/>
      <c r="C22" s="60"/>
      <c r="D22" s="60"/>
      <c r="E22" s="60"/>
      <c r="F22" s="60"/>
      <c r="G22" s="60"/>
      <c r="H22" s="6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61"/>
      <c r="AB22" s="105"/>
      <c r="AC22" s="107"/>
    </row>
    <row r="23" spans="1:29" ht="13.9" customHeight="1" x14ac:dyDescent="0.2">
      <c r="A23" s="10" t="s">
        <v>26</v>
      </c>
      <c r="B23" s="33">
        <v>7.2000000000000028</v>
      </c>
      <c r="C23" s="33">
        <v>26.200000000000031</v>
      </c>
      <c r="D23" s="33">
        <f>+D21-D24</f>
        <v>58</v>
      </c>
      <c r="E23" s="33">
        <f>+E21-E24</f>
        <v>-23.6</v>
      </c>
      <c r="F23" s="33">
        <v>-5.6</v>
      </c>
      <c r="G23" s="33">
        <v>-6.7999999999999972</v>
      </c>
      <c r="H23" s="33">
        <f t="shared" si="0"/>
        <v>-5.0999999999999819</v>
      </c>
      <c r="I23" s="13">
        <f t="shared" ref="I23" si="39">+I21-I24</f>
        <v>-41.09999999999998</v>
      </c>
      <c r="J23" s="13">
        <f t="shared" ref="J23:K23" si="40">+J21-J24</f>
        <v>8.0000000000000036</v>
      </c>
      <c r="K23" s="13">
        <f t="shared" si="40"/>
        <v>15.5</v>
      </c>
      <c r="L23" s="13">
        <v>-10.299999999999999</v>
      </c>
      <c r="M23" s="13">
        <f t="shared" ref="M23:N23" si="41">+M21-M24</f>
        <v>38.799999999999997</v>
      </c>
      <c r="N23" s="13">
        <f t="shared" si="41"/>
        <v>52</v>
      </c>
      <c r="O23" s="13">
        <v>35.700000000000003</v>
      </c>
      <c r="P23" s="13">
        <v>-16.5</v>
      </c>
      <c r="Q23" s="13">
        <f>+Q21-Q24</f>
        <v>33.800000000000004</v>
      </c>
      <c r="R23" s="13">
        <f t="shared" ref="R23:S23" si="42">+R21-R24</f>
        <v>-7.9999999999999973</v>
      </c>
      <c r="S23" s="13">
        <f t="shared" si="42"/>
        <v>45.000000000000043</v>
      </c>
      <c r="T23" s="13">
        <f t="shared" ref="T23" si="43">+T21-T24</f>
        <v>-4.9999999999999929</v>
      </c>
      <c r="U23" s="13">
        <v>5.3000000000000043</v>
      </c>
      <c r="V23" s="13">
        <v>0.50000000000000355</v>
      </c>
      <c r="W23" s="13">
        <f>+W21</f>
        <v>80.199999999999974</v>
      </c>
      <c r="X23" s="13">
        <f>+X21-X24</f>
        <v>81.000000000000114</v>
      </c>
      <c r="Y23" s="13">
        <v>47.399999999999991</v>
      </c>
      <c r="Z23" s="13">
        <v>14.5</v>
      </c>
      <c r="AA23" s="41">
        <f t="shared" ref="AA23" si="44">+AA21-AA24</f>
        <v>48.000000000000014</v>
      </c>
      <c r="AB23" s="105"/>
    </row>
    <row r="24" spans="1:29" ht="13.9" customHeight="1" x14ac:dyDescent="0.2">
      <c r="A24" s="10" t="s">
        <v>27</v>
      </c>
      <c r="B24" s="13">
        <v>2.8000000000000007</v>
      </c>
      <c r="C24" s="13">
        <v>0</v>
      </c>
      <c r="D24" s="13">
        <v>14.5</v>
      </c>
      <c r="E24" s="13">
        <v>0</v>
      </c>
      <c r="F24" s="13">
        <v>0</v>
      </c>
      <c r="G24" s="13">
        <v>0</v>
      </c>
      <c r="H24" s="13">
        <f t="shared" si="0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41">
        <v>0</v>
      </c>
      <c r="AB24" s="105"/>
    </row>
    <row r="25" spans="1:29" ht="13.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42"/>
      <c r="AB25" s="105"/>
    </row>
    <row r="26" spans="1:29" ht="13.9" customHeight="1" x14ac:dyDescent="0.2">
      <c r="A26" s="10" t="s">
        <v>28</v>
      </c>
      <c r="B26" s="36">
        <f>+B23/187400*1000</f>
        <v>3.8420490928495213E-2</v>
      </c>
      <c r="C26" s="36">
        <f>+C23/187400*1000</f>
        <v>0.13980789754535769</v>
      </c>
      <c r="D26" s="36">
        <f>+D23/187400*1000</f>
        <v>0.3094983991462113</v>
      </c>
      <c r="E26" s="36">
        <f>+E23/208767.5*1000</f>
        <v>-0.11304441543822674</v>
      </c>
      <c r="F26" s="36">
        <f>+F23/234304.3*1000</f>
        <v>-2.390054301180132E-2</v>
      </c>
      <c r="G26" s="36">
        <f>+G23/234304.3*1000</f>
        <v>-2.9022087942901592E-2</v>
      </c>
      <c r="H26" s="36">
        <f>+H23/234304.3*1000</f>
        <v>-2.1766565957176125E-2</v>
      </c>
      <c r="I26" s="36">
        <f>+I23/228024.8*1000</f>
        <v>-0.1802435524556977</v>
      </c>
      <c r="J26" s="36">
        <f>+J21*1000000/252466633</f>
        <v>3.1687355691078604E-2</v>
      </c>
      <c r="K26" s="36">
        <f>+K21*1000000/257994300</f>
        <v>6.0078846703202356E-2</v>
      </c>
      <c r="L26" s="36">
        <v>-3.992336264793446E-2</v>
      </c>
      <c r="M26" s="36">
        <v>0.15</v>
      </c>
      <c r="N26" s="36">
        <f>+N23/256631*1000</f>
        <v>0.20262555965569243</v>
      </c>
      <c r="O26" s="36">
        <f>+O23/257994*1000</f>
        <v>0.13837531105374545</v>
      </c>
      <c r="P26" s="36">
        <v>-6.3954975697109243E-2</v>
      </c>
      <c r="Q26" s="36">
        <f>+Q23/257994*1000</f>
        <v>0.131010798700745</v>
      </c>
      <c r="R26" s="36">
        <f t="shared" ref="R26:S26" si="45">+R23/257994*1000</f>
        <v>-3.1008473065265073E-2</v>
      </c>
      <c r="S26" s="36">
        <f t="shared" si="45"/>
        <v>0.17442266099211626</v>
      </c>
      <c r="T26" s="36">
        <f t="shared" ref="T26" si="46">+T23/257994*1000</f>
        <v>-1.9380295665790651E-2</v>
      </c>
      <c r="U26" s="36">
        <v>2.0543113405738136E-2</v>
      </c>
      <c r="V26" s="36">
        <v>1.9380295665790816E-3</v>
      </c>
      <c r="W26" s="36">
        <v>0.31</v>
      </c>
      <c r="X26" s="36">
        <v>0.31</v>
      </c>
      <c r="Y26" s="36">
        <v>0.18372520291169558</v>
      </c>
      <c r="Z26" s="36">
        <v>5.6202857430792966E-2</v>
      </c>
      <c r="AA26" s="104">
        <f>+AA23/257994*1000</f>
        <v>0.18605083839159056</v>
      </c>
      <c r="AB26" s="105"/>
    </row>
    <row r="27" spans="1:29" ht="13.9" customHeight="1" x14ac:dyDescent="0.2">
      <c r="A27" s="10" t="s">
        <v>29</v>
      </c>
      <c r="B27" s="36">
        <f t="shared" ref="B27:C27" si="47">+B26</f>
        <v>3.8420490928495213E-2</v>
      </c>
      <c r="C27" s="36">
        <f t="shared" si="47"/>
        <v>0.13980789754535769</v>
      </c>
      <c r="D27" s="36">
        <f>+D26</f>
        <v>0.3094983991462113</v>
      </c>
      <c r="E27" s="36">
        <f>+E26</f>
        <v>-0.11304441543822674</v>
      </c>
      <c r="F27" s="36">
        <f t="shared" ref="F27:H27" si="48">+F26</f>
        <v>-2.390054301180132E-2</v>
      </c>
      <c r="G27" s="36">
        <f t="shared" si="48"/>
        <v>-2.9022087942901592E-2</v>
      </c>
      <c r="H27" s="36">
        <f t="shared" si="48"/>
        <v>-2.1766565957176125E-2</v>
      </c>
      <c r="I27" s="36">
        <f t="shared" ref="I27" si="49">+I26</f>
        <v>-0.1802435524556977</v>
      </c>
      <c r="J27" s="36">
        <f t="shared" ref="J27:K27" si="50">+J26</f>
        <v>3.1687355691078604E-2</v>
      </c>
      <c r="K27" s="36">
        <f t="shared" si="50"/>
        <v>6.0078846703202356E-2</v>
      </c>
      <c r="L27" s="36">
        <v>-4.0108650205720957E-2</v>
      </c>
      <c r="M27" s="36">
        <f>+M26</f>
        <v>0.15</v>
      </c>
      <c r="N27" s="36">
        <f t="shared" ref="N27" si="51">+N26</f>
        <v>0.20262555965569243</v>
      </c>
      <c r="O27" s="36">
        <f>+O26</f>
        <v>0.13837531105374545</v>
      </c>
      <c r="P27" s="36">
        <v>-6.3954975697109243E-2</v>
      </c>
      <c r="Q27" s="36">
        <f>+Q26</f>
        <v>0.131010798700745</v>
      </c>
      <c r="R27" s="36">
        <f t="shared" ref="R27:S27" si="52">+R26</f>
        <v>-3.1008473065265073E-2</v>
      </c>
      <c r="S27" s="36">
        <f t="shared" si="52"/>
        <v>0.17442266099211626</v>
      </c>
      <c r="T27" s="36">
        <f>+T23/261813*1000</f>
        <v>-1.9097600195559398E-2</v>
      </c>
      <c r="U27" s="36">
        <v>2.0243456207293009E-2</v>
      </c>
      <c r="V27" s="36">
        <v>1.9097600195559562E-3</v>
      </c>
      <c r="W27" s="36">
        <v>0.31</v>
      </c>
      <c r="X27" s="36">
        <v>0.31</v>
      </c>
      <c r="Y27" s="36">
        <v>0.1810452498539033</v>
      </c>
      <c r="Z27" s="36">
        <v>5.5383040567122337E-2</v>
      </c>
      <c r="AA27" s="104">
        <f>+AA26</f>
        <v>0.18605083839159056</v>
      </c>
      <c r="AB27" s="105"/>
    </row>
    <row r="28" spans="1:29" ht="12.75" customHeight="1" x14ac:dyDescent="0.2">
      <c r="A28" s="4"/>
      <c r="B28" s="4"/>
      <c r="C28" s="4"/>
      <c r="D28" s="4"/>
      <c r="I28" s="38"/>
      <c r="J28" s="38"/>
      <c r="K28" s="38"/>
      <c r="L28" s="38"/>
      <c r="M28" s="39"/>
      <c r="N28" s="38"/>
      <c r="O28" s="38"/>
      <c r="P28" s="38"/>
      <c r="Q28" s="38"/>
      <c r="R28" s="38"/>
      <c r="S28" s="38"/>
      <c r="T28" s="38"/>
      <c r="U28" s="38"/>
      <c r="V28" s="38"/>
      <c r="W28" s="38"/>
      <c r="AA28" s="30"/>
    </row>
    <row r="29" spans="1:29" ht="63" customHeight="1" x14ac:dyDescent="0.2">
      <c r="A29" s="95"/>
      <c r="B29" s="95"/>
      <c r="C29" s="95"/>
      <c r="D29" s="95"/>
      <c r="E29" s="95"/>
      <c r="F29" s="5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"/>
      <c r="Y29" s="1"/>
      <c r="Z29" s="1"/>
      <c r="AA29" s="38"/>
    </row>
    <row r="30" spans="1:29" ht="12.75" customHeight="1" x14ac:dyDescent="0.2">
      <c r="A30" s="37"/>
      <c r="B30" s="37"/>
      <c r="C30" s="37"/>
      <c r="D30" s="37"/>
      <c r="E30" s="37"/>
      <c r="F30" s="37"/>
      <c r="X30" s="37"/>
      <c r="Y30" s="37"/>
      <c r="Z30" s="37"/>
    </row>
    <row r="31" spans="1:29" ht="12.75" customHeight="1" x14ac:dyDescent="0.2">
      <c r="A31" s="5"/>
      <c r="B31" s="88"/>
      <c r="C31" s="7"/>
    </row>
    <row r="32" spans="1:29" ht="12.75" customHeight="1" x14ac:dyDescent="0.2">
      <c r="A32" s="5"/>
      <c r="B32" s="7"/>
      <c r="C32" s="7"/>
      <c r="D32" s="7"/>
    </row>
    <row r="33" spans="1:4" ht="12.75" customHeight="1" x14ac:dyDescent="0.2">
      <c r="A33" s="5"/>
      <c r="B33" s="7"/>
      <c r="C33" s="7"/>
      <c r="D33" s="7"/>
    </row>
    <row r="34" spans="1:4" ht="12.75" customHeight="1" x14ac:dyDescent="0.2">
      <c r="A34" s="4"/>
      <c r="B34" s="8"/>
      <c r="C34" s="8"/>
      <c r="D34" s="8"/>
    </row>
    <row r="35" spans="1:4" ht="12.75" customHeight="1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A37" s="4"/>
      <c r="B37" s="4"/>
      <c r="C37" s="4"/>
      <c r="D37" s="4"/>
    </row>
    <row r="38" spans="1:4" x14ac:dyDescent="0.2">
      <c r="A38" s="4"/>
      <c r="B38" s="4"/>
      <c r="C38" s="4"/>
      <c r="D38" s="4"/>
    </row>
    <row r="39" spans="1:4" x14ac:dyDescent="0.2">
      <c r="A39" s="4"/>
      <c r="B39" s="4"/>
      <c r="C39" s="4"/>
      <c r="D39" s="4"/>
    </row>
    <row r="40" spans="1:4" x14ac:dyDescent="0.2">
      <c r="A40" s="4"/>
      <c r="B40" s="4"/>
      <c r="C40" s="4"/>
      <c r="D40" s="4"/>
    </row>
    <row r="41" spans="1:4" x14ac:dyDescent="0.2">
      <c r="A41" s="4"/>
      <c r="B41" s="4"/>
      <c r="C41" s="4"/>
      <c r="D41" s="4"/>
    </row>
    <row r="42" spans="1:4" x14ac:dyDescent="0.2">
      <c r="A42" s="4"/>
      <c r="B42" s="4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6"/>
      <c r="B46" s="6"/>
      <c r="C46" s="6"/>
      <c r="D46" s="6"/>
    </row>
  </sheetData>
  <sheetProtection algorithmName="SHA-512" hashValue="qdbgZRxjsAUWxyfHFjqbxrEQhYClsehLox3gZgmkaOOEyL0cfY/MB4LtqykBoLS1wj1PvnWbBGuMgFAQ7zqjCw==" saltValue="1/UgU0GZxntQWTdn0DP34w==" spinCount="100000" sheet="1" objects="1" scenarios="1"/>
  <phoneticPr fontId="9" type="noConversion"/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W47"/>
  <sheetViews>
    <sheetView showGridLines="0" zoomScale="90" zoomScaleNormal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36" sqref="A36:A45"/>
    </sheetView>
  </sheetViews>
  <sheetFormatPr defaultColWidth="8.7109375" defaultRowHeight="13.9" customHeight="1" x14ac:dyDescent="0.2"/>
  <cols>
    <col min="1" max="1" width="41.28515625" style="20" customWidth="1"/>
    <col min="2" max="7" width="10.7109375" style="20" hidden="1" customWidth="1"/>
    <col min="8" max="21" width="10.7109375" style="20" customWidth="1"/>
    <col min="22" max="224" width="8.7109375" style="20"/>
    <col min="225" max="225" width="42" style="20" customWidth="1"/>
    <col min="226" max="226" width="6.42578125" style="20" customWidth="1"/>
    <col min="227" max="229" width="10.28515625" style="20" customWidth="1"/>
    <col min="230" max="230" width="0" style="20" hidden="1" customWidth="1"/>
    <col min="231" max="231" width="10.28515625" style="20" customWidth="1"/>
    <col min="232" max="480" width="8.7109375" style="20"/>
    <col min="481" max="481" width="42" style="20" customWidth="1"/>
    <col min="482" max="482" width="6.42578125" style="20" customWidth="1"/>
    <col min="483" max="485" width="10.28515625" style="20" customWidth="1"/>
    <col min="486" max="486" width="0" style="20" hidden="1" customWidth="1"/>
    <col min="487" max="487" width="10.28515625" style="20" customWidth="1"/>
    <col min="488" max="736" width="8.7109375" style="20"/>
    <col min="737" max="737" width="42" style="20" customWidth="1"/>
    <col min="738" max="738" width="6.42578125" style="20" customWidth="1"/>
    <col min="739" max="741" width="10.28515625" style="20" customWidth="1"/>
    <col min="742" max="742" width="0" style="20" hidden="1" customWidth="1"/>
    <col min="743" max="743" width="10.28515625" style="20" customWidth="1"/>
    <col min="744" max="992" width="8.7109375" style="20"/>
    <col min="993" max="993" width="42" style="20" customWidth="1"/>
    <col min="994" max="994" width="6.42578125" style="20" customWidth="1"/>
    <col min="995" max="997" width="10.28515625" style="20" customWidth="1"/>
    <col min="998" max="998" width="0" style="20" hidden="1" customWidth="1"/>
    <col min="999" max="999" width="10.28515625" style="20" customWidth="1"/>
    <col min="1000" max="1248" width="8.7109375" style="20"/>
    <col min="1249" max="1249" width="42" style="20" customWidth="1"/>
    <col min="1250" max="1250" width="6.42578125" style="20" customWidth="1"/>
    <col min="1251" max="1253" width="10.28515625" style="20" customWidth="1"/>
    <col min="1254" max="1254" width="0" style="20" hidden="1" customWidth="1"/>
    <col min="1255" max="1255" width="10.28515625" style="20" customWidth="1"/>
    <col min="1256" max="1504" width="8.7109375" style="20"/>
    <col min="1505" max="1505" width="42" style="20" customWidth="1"/>
    <col min="1506" max="1506" width="6.42578125" style="20" customWidth="1"/>
    <col min="1507" max="1509" width="10.28515625" style="20" customWidth="1"/>
    <col min="1510" max="1510" width="0" style="20" hidden="1" customWidth="1"/>
    <col min="1511" max="1511" width="10.28515625" style="20" customWidth="1"/>
    <col min="1512" max="1760" width="8.7109375" style="20"/>
    <col min="1761" max="1761" width="42" style="20" customWidth="1"/>
    <col min="1762" max="1762" width="6.42578125" style="20" customWidth="1"/>
    <col min="1763" max="1765" width="10.28515625" style="20" customWidth="1"/>
    <col min="1766" max="1766" width="0" style="20" hidden="1" customWidth="1"/>
    <col min="1767" max="1767" width="10.28515625" style="20" customWidth="1"/>
    <col min="1768" max="2016" width="8.7109375" style="20"/>
    <col min="2017" max="2017" width="42" style="20" customWidth="1"/>
    <col min="2018" max="2018" width="6.42578125" style="20" customWidth="1"/>
    <col min="2019" max="2021" width="10.28515625" style="20" customWidth="1"/>
    <col min="2022" max="2022" width="0" style="20" hidden="1" customWidth="1"/>
    <col min="2023" max="2023" width="10.28515625" style="20" customWidth="1"/>
    <col min="2024" max="2272" width="8.7109375" style="20"/>
    <col min="2273" max="2273" width="42" style="20" customWidth="1"/>
    <col min="2274" max="2274" width="6.42578125" style="20" customWidth="1"/>
    <col min="2275" max="2277" width="10.28515625" style="20" customWidth="1"/>
    <col min="2278" max="2278" width="0" style="20" hidden="1" customWidth="1"/>
    <col min="2279" max="2279" width="10.28515625" style="20" customWidth="1"/>
    <col min="2280" max="2528" width="8.7109375" style="20"/>
    <col min="2529" max="2529" width="42" style="20" customWidth="1"/>
    <col min="2530" max="2530" width="6.42578125" style="20" customWidth="1"/>
    <col min="2531" max="2533" width="10.28515625" style="20" customWidth="1"/>
    <col min="2534" max="2534" width="0" style="20" hidden="1" customWidth="1"/>
    <col min="2535" max="2535" width="10.28515625" style="20" customWidth="1"/>
    <col min="2536" max="2784" width="8.7109375" style="20"/>
    <col min="2785" max="2785" width="42" style="20" customWidth="1"/>
    <col min="2786" max="2786" width="6.42578125" style="20" customWidth="1"/>
    <col min="2787" max="2789" width="10.28515625" style="20" customWidth="1"/>
    <col min="2790" max="2790" width="0" style="20" hidden="1" customWidth="1"/>
    <col min="2791" max="2791" width="10.28515625" style="20" customWidth="1"/>
    <col min="2792" max="3040" width="8.7109375" style="20"/>
    <col min="3041" max="3041" width="42" style="20" customWidth="1"/>
    <col min="3042" max="3042" width="6.42578125" style="20" customWidth="1"/>
    <col min="3043" max="3045" width="10.28515625" style="20" customWidth="1"/>
    <col min="3046" max="3046" width="0" style="20" hidden="1" customWidth="1"/>
    <col min="3047" max="3047" width="10.28515625" style="20" customWidth="1"/>
    <col min="3048" max="3296" width="8.7109375" style="20"/>
    <col min="3297" max="3297" width="42" style="20" customWidth="1"/>
    <col min="3298" max="3298" width="6.42578125" style="20" customWidth="1"/>
    <col min="3299" max="3301" width="10.28515625" style="20" customWidth="1"/>
    <col min="3302" max="3302" width="0" style="20" hidden="1" customWidth="1"/>
    <col min="3303" max="3303" width="10.28515625" style="20" customWidth="1"/>
    <col min="3304" max="3552" width="8.7109375" style="20"/>
    <col min="3553" max="3553" width="42" style="20" customWidth="1"/>
    <col min="3554" max="3554" width="6.42578125" style="20" customWidth="1"/>
    <col min="3555" max="3557" width="10.28515625" style="20" customWidth="1"/>
    <col min="3558" max="3558" width="0" style="20" hidden="1" customWidth="1"/>
    <col min="3559" max="3559" width="10.28515625" style="20" customWidth="1"/>
    <col min="3560" max="3808" width="8.7109375" style="20"/>
    <col min="3809" max="3809" width="42" style="20" customWidth="1"/>
    <col min="3810" max="3810" width="6.42578125" style="20" customWidth="1"/>
    <col min="3811" max="3813" width="10.28515625" style="20" customWidth="1"/>
    <col min="3814" max="3814" width="0" style="20" hidden="1" customWidth="1"/>
    <col min="3815" max="3815" width="10.28515625" style="20" customWidth="1"/>
    <col min="3816" max="4064" width="8.7109375" style="20"/>
    <col min="4065" max="4065" width="42" style="20" customWidth="1"/>
    <col min="4066" max="4066" width="6.42578125" style="20" customWidth="1"/>
    <col min="4067" max="4069" width="10.28515625" style="20" customWidth="1"/>
    <col min="4070" max="4070" width="0" style="20" hidden="1" customWidth="1"/>
    <col min="4071" max="4071" width="10.28515625" style="20" customWidth="1"/>
    <col min="4072" max="4320" width="8.7109375" style="20"/>
    <col min="4321" max="4321" width="42" style="20" customWidth="1"/>
    <col min="4322" max="4322" width="6.42578125" style="20" customWidth="1"/>
    <col min="4323" max="4325" width="10.28515625" style="20" customWidth="1"/>
    <col min="4326" max="4326" width="0" style="20" hidden="1" customWidth="1"/>
    <col min="4327" max="4327" width="10.28515625" style="20" customWidth="1"/>
    <col min="4328" max="4576" width="8.7109375" style="20"/>
    <col min="4577" max="4577" width="42" style="20" customWidth="1"/>
    <col min="4578" max="4578" width="6.42578125" style="20" customWidth="1"/>
    <col min="4579" max="4581" width="10.28515625" style="20" customWidth="1"/>
    <col min="4582" max="4582" width="0" style="20" hidden="1" customWidth="1"/>
    <col min="4583" max="4583" width="10.28515625" style="20" customWidth="1"/>
    <col min="4584" max="4832" width="8.7109375" style="20"/>
    <col min="4833" max="4833" width="42" style="20" customWidth="1"/>
    <col min="4834" max="4834" width="6.42578125" style="20" customWidth="1"/>
    <col min="4835" max="4837" width="10.28515625" style="20" customWidth="1"/>
    <col min="4838" max="4838" width="0" style="20" hidden="1" customWidth="1"/>
    <col min="4839" max="4839" width="10.28515625" style="20" customWidth="1"/>
    <col min="4840" max="5088" width="8.7109375" style="20"/>
    <col min="5089" max="5089" width="42" style="20" customWidth="1"/>
    <col min="5090" max="5090" width="6.42578125" style="20" customWidth="1"/>
    <col min="5091" max="5093" width="10.28515625" style="20" customWidth="1"/>
    <col min="5094" max="5094" width="0" style="20" hidden="1" customWidth="1"/>
    <col min="5095" max="5095" width="10.28515625" style="20" customWidth="1"/>
    <col min="5096" max="5344" width="8.7109375" style="20"/>
    <col min="5345" max="5345" width="42" style="20" customWidth="1"/>
    <col min="5346" max="5346" width="6.42578125" style="20" customWidth="1"/>
    <col min="5347" max="5349" width="10.28515625" style="20" customWidth="1"/>
    <col min="5350" max="5350" width="0" style="20" hidden="1" customWidth="1"/>
    <col min="5351" max="5351" width="10.28515625" style="20" customWidth="1"/>
    <col min="5352" max="5600" width="8.7109375" style="20"/>
    <col min="5601" max="5601" width="42" style="20" customWidth="1"/>
    <col min="5602" max="5602" width="6.42578125" style="20" customWidth="1"/>
    <col min="5603" max="5605" width="10.28515625" style="20" customWidth="1"/>
    <col min="5606" max="5606" width="0" style="20" hidden="1" customWidth="1"/>
    <col min="5607" max="5607" width="10.28515625" style="20" customWidth="1"/>
    <col min="5608" max="5856" width="8.7109375" style="20"/>
    <col min="5857" max="5857" width="42" style="20" customWidth="1"/>
    <col min="5858" max="5858" width="6.42578125" style="20" customWidth="1"/>
    <col min="5859" max="5861" width="10.28515625" style="20" customWidth="1"/>
    <col min="5862" max="5862" width="0" style="20" hidden="1" customWidth="1"/>
    <col min="5863" max="5863" width="10.28515625" style="20" customWidth="1"/>
    <col min="5864" max="6112" width="8.7109375" style="20"/>
    <col min="6113" max="6113" width="42" style="20" customWidth="1"/>
    <col min="6114" max="6114" width="6.42578125" style="20" customWidth="1"/>
    <col min="6115" max="6117" width="10.28515625" style="20" customWidth="1"/>
    <col min="6118" max="6118" width="0" style="20" hidden="1" customWidth="1"/>
    <col min="6119" max="6119" width="10.28515625" style="20" customWidth="1"/>
    <col min="6120" max="6368" width="8.7109375" style="20"/>
    <col min="6369" max="6369" width="42" style="20" customWidth="1"/>
    <col min="6370" max="6370" width="6.42578125" style="20" customWidth="1"/>
    <col min="6371" max="6373" width="10.28515625" style="20" customWidth="1"/>
    <col min="6374" max="6374" width="0" style="20" hidden="1" customWidth="1"/>
    <col min="6375" max="6375" width="10.28515625" style="20" customWidth="1"/>
    <col min="6376" max="6624" width="8.7109375" style="20"/>
    <col min="6625" max="6625" width="42" style="20" customWidth="1"/>
    <col min="6626" max="6626" width="6.42578125" style="20" customWidth="1"/>
    <col min="6627" max="6629" width="10.28515625" style="20" customWidth="1"/>
    <col min="6630" max="6630" width="0" style="20" hidden="1" customWidth="1"/>
    <col min="6631" max="6631" width="10.28515625" style="20" customWidth="1"/>
    <col min="6632" max="6880" width="8.7109375" style="20"/>
    <col min="6881" max="6881" width="42" style="20" customWidth="1"/>
    <col min="6882" max="6882" width="6.42578125" style="20" customWidth="1"/>
    <col min="6883" max="6885" width="10.28515625" style="20" customWidth="1"/>
    <col min="6886" max="6886" width="0" style="20" hidden="1" customWidth="1"/>
    <col min="6887" max="6887" width="10.28515625" style="20" customWidth="1"/>
    <col min="6888" max="7136" width="8.7109375" style="20"/>
    <col min="7137" max="7137" width="42" style="20" customWidth="1"/>
    <col min="7138" max="7138" width="6.42578125" style="20" customWidth="1"/>
    <col min="7139" max="7141" width="10.28515625" style="20" customWidth="1"/>
    <col min="7142" max="7142" width="0" style="20" hidden="1" customWidth="1"/>
    <col min="7143" max="7143" width="10.28515625" style="20" customWidth="1"/>
    <col min="7144" max="7392" width="8.7109375" style="20"/>
    <col min="7393" max="7393" width="42" style="20" customWidth="1"/>
    <col min="7394" max="7394" width="6.42578125" style="20" customWidth="1"/>
    <col min="7395" max="7397" width="10.28515625" style="20" customWidth="1"/>
    <col min="7398" max="7398" width="0" style="20" hidden="1" customWidth="1"/>
    <col min="7399" max="7399" width="10.28515625" style="20" customWidth="1"/>
    <col min="7400" max="7648" width="8.7109375" style="20"/>
    <col min="7649" max="7649" width="42" style="20" customWidth="1"/>
    <col min="7650" max="7650" width="6.42578125" style="20" customWidth="1"/>
    <col min="7651" max="7653" width="10.28515625" style="20" customWidth="1"/>
    <col min="7654" max="7654" width="0" style="20" hidden="1" customWidth="1"/>
    <col min="7655" max="7655" width="10.28515625" style="20" customWidth="1"/>
    <col min="7656" max="7904" width="8.7109375" style="20"/>
    <col min="7905" max="7905" width="42" style="20" customWidth="1"/>
    <col min="7906" max="7906" width="6.42578125" style="20" customWidth="1"/>
    <col min="7907" max="7909" width="10.28515625" style="20" customWidth="1"/>
    <col min="7910" max="7910" width="0" style="20" hidden="1" customWidth="1"/>
    <col min="7911" max="7911" width="10.28515625" style="20" customWidth="1"/>
    <col min="7912" max="8160" width="8.7109375" style="20"/>
    <col min="8161" max="8161" width="42" style="20" customWidth="1"/>
    <col min="8162" max="8162" width="6.42578125" style="20" customWidth="1"/>
    <col min="8163" max="8165" width="10.28515625" style="20" customWidth="1"/>
    <col min="8166" max="8166" width="0" style="20" hidden="1" customWidth="1"/>
    <col min="8167" max="8167" width="10.28515625" style="20" customWidth="1"/>
    <col min="8168" max="8416" width="8.7109375" style="20"/>
    <col min="8417" max="8417" width="42" style="20" customWidth="1"/>
    <col min="8418" max="8418" width="6.42578125" style="20" customWidth="1"/>
    <col min="8419" max="8421" width="10.28515625" style="20" customWidth="1"/>
    <col min="8422" max="8422" width="0" style="20" hidden="1" customWidth="1"/>
    <col min="8423" max="8423" width="10.28515625" style="20" customWidth="1"/>
    <col min="8424" max="8672" width="8.7109375" style="20"/>
    <col min="8673" max="8673" width="42" style="20" customWidth="1"/>
    <col min="8674" max="8674" width="6.42578125" style="20" customWidth="1"/>
    <col min="8675" max="8677" width="10.28515625" style="20" customWidth="1"/>
    <col min="8678" max="8678" width="0" style="20" hidden="1" customWidth="1"/>
    <col min="8679" max="8679" width="10.28515625" style="20" customWidth="1"/>
    <col min="8680" max="8928" width="8.7109375" style="20"/>
    <col min="8929" max="8929" width="42" style="20" customWidth="1"/>
    <col min="8930" max="8930" width="6.42578125" style="20" customWidth="1"/>
    <col min="8931" max="8933" width="10.28515625" style="20" customWidth="1"/>
    <col min="8934" max="8934" width="0" style="20" hidden="1" customWidth="1"/>
    <col min="8935" max="8935" width="10.28515625" style="20" customWidth="1"/>
    <col min="8936" max="9184" width="8.7109375" style="20"/>
    <col min="9185" max="9185" width="42" style="20" customWidth="1"/>
    <col min="9186" max="9186" width="6.42578125" style="20" customWidth="1"/>
    <col min="9187" max="9189" width="10.28515625" style="20" customWidth="1"/>
    <col min="9190" max="9190" width="0" style="20" hidden="1" customWidth="1"/>
    <col min="9191" max="9191" width="10.28515625" style="20" customWidth="1"/>
    <col min="9192" max="9440" width="8.7109375" style="20"/>
    <col min="9441" max="9441" width="42" style="20" customWidth="1"/>
    <col min="9442" max="9442" width="6.42578125" style="20" customWidth="1"/>
    <col min="9443" max="9445" width="10.28515625" style="20" customWidth="1"/>
    <col min="9446" max="9446" width="0" style="20" hidden="1" customWidth="1"/>
    <col min="9447" max="9447" width="10.28515625" style="20" customWidth="1"/>
    <col min="9448" max="9696" width="8.7109375" style="20"/>
    <col min="9697" max="9697" width="42" style="20" customWidth="1"/>
    <col min="9698" max="9698" width="6.42578125" style="20" customWidth="1"/>
    <col min="9699" max="9701" width="10.28515625" style="20" customWidth="1"/>
    <col min="9702" max="9702" width="0" style="20" hidden="1" customWidth="1"/>
    <col min="9703" max="9703" width="10.28515625" style="20" customWidth="1"/>
    <col min="9704" max="9952" width="8.7109375" style="20"/>
    <col min="9953" max="9953" width="42" style="20" customWidth="1"/>
    <col min="9954" max="9954" width="6.42578125" style="20" customWidth="1"/>
    <col min="9955" max="9957" width="10.28515625" style="20" customWidth="1"/>
    <col min="9958" max="9958" width="0" style="20" hidden="1" customWidth="1"/>
    <col min="9959" max="9959" width="10.28515625" style="20" customWidth="1"/>
    <col min="9960" max="10208" width="8.7109375" style="20"/>
    <col min="10209" max="10209" width="42" style="20" customWidth="1"/>
    <col min="10210" max="10210" width="6.42578125" style="20" customWidth="1"/>
    <col min="10211" max="10213" width="10.28515625" style="20" customWidth="1"/>
    <col min="10214" max="10214" width="0" style="20" hidden="1" customWidth="1"/>
    <col min="10215" max="10215" width="10.28515625" style="20" customWidth="1"/>
    <col min="10216" max="10464" width="8.7109375" style="20"/>
    <col min="10465" max="10465" width="42" style="20" customWidth="1"/>
    <col min="10466" max="10466" width="6.42578125" style="20" customWidth="1"/>
    <col min="10467" max="10469" width="10.28515625" style="20" customWidth="1"/>
    <col min="10470" max="10470" width="0" style="20" hidden="1" customWidth="1"/>
    <col min="10471" max="10471" width="10.28515625" style="20" customWidth="1"/>
    <col min="10472" max="10720" width="8.7109375" style="20"/>
    <col min="10721" max="10721" width="42" style="20" customWidth="1"/>
    <col min="10722" max="10722" width="6.42578125" style="20" customWidth="1"/>
    <col min="10723" max="10725" width="10.28515625" style="20" customWidth="1"/>
    <col min="10726" max="10726" width="0" style="20" hidden="1" customWidth="1"/>
    <col min="10727" max="10727" width="10.28515625" style="20" customWidth="1"/>
    <col min="10728" max="10976" width="8.7109375" style="20"/>
    <col min="10977" max="10977" width="42" style="20" customWidth="1"/>
    <col min="10978" max="10978" width="6.42578125" style="20" customWidth="1"/>
    <col min="10979" max="10981" width="10.28515625" style="20" customWidth="1"/>
    <col min="10982" max="10982" width="0" style="20" hidden="1" customWidth="1"/>
    <col min="10983" max="10983" width="10.28515625" style="20" customWidth="1"/>
    <col min="10984" max="11232" width="8.7109375" style="20"/>
    <col min="11233" max="11233" width="42" style="20" customWidth="1"/>
    <col min="11234" max="11234" width="6.42578125" style="20" customWidth="1"/>
    <col min="11235" max="11237" width="10.28515625" style="20" customWidth="1"/>
    <col min="11238" max="11238" width="0" style="20" hidden="1" customWidth="1"/>
    <col min="11239" max="11239" width="10.28515625" style="20" customWidth="1"/>
    <col min="11240" max="11488" width="8.7109375" style="20"/>
    <col min="11489" max="11489" width="42" style="20" customWidth="1"/>
    <col min="11490" max="11490" width="6.42578125" style="20" customWidth="1"/>
    <col min="11491" max="11493" width="10.28515625" style="20" customWidth="1"/>
    <col min="11494" max="11494" width="0" style="20" hidden="1" customWidth="1"/>
    <col min="11495" max="11495" width="10.28515625" style="20" customWidth="1"/>
    <col min="11496" max="11744" width="8.7109375" style="20"/>
    <col min="11745" max="11745" width="42" style="20" customWidth="1"/>
    <col min="11746" max="11746" width="6.42578125" style="20" customWidth="1"/>
    <col min="11747" max="11749" width="10.28515625" style="20" customWidth="1"/>
    <col min="11750" max="11750" width="0" style="20" hidden="1" customWidth="1"/>
    <col min="11751" max="11751" width="10.28515625" style="20" customWidth="1"/>
    <col min="11752" max="12000" width="8.7109375" style="20"/>
    <col min="12001" max="12001" width="42" style="20" customWidth="1"/>
    <col min="12002" max="12002" width="6.42578125" style="20" customWidth="1"/>
    <col min="12003" max="12005" width="10.28515625" style="20" customWidth="1"/>
    <col min="12006" max="12006" width="0" style="20" hidden="1" customWidth="1"/>
    <col min="12007" max="12007" width="10.28515625" style="20" customWidth="1"/>
    <col min="12008" max="12256" width="8.7109375" style="20"/>
    <col min="12257" max="12257" width="42" style="20" customWidth="1"/>
    <col min="12258" max="12258" width="6.42578125" style="20" customWidth="1"/>
    <col min="12259" max="12261" width="10.28515625" style="20" customWidth="1"/>
    <col min="12262" max="12262" width="0" style="20" hidden="1" customWidth="1"/>
    <col min="12263" max="12263" width="10.28515625" style="20" customWidth="1"/>
    <col min="12264" max="12512" width="8.7109375" style="20"/>
    <col min="12513" max="12513" width="42" style="20" customWidth="1"/>
    <col min="12514" max="12514" width="6.42578125" style="20" customWidth="1"/>
    <col min="12515" max="12517" width="10.28515625" style="20" customWidth="1"/>
    <col min="12518" max="12518" width="0" style="20" hidden="1" customWidth="1"/>
    <col min="12519" max="12519" width="10.28515625" style="20" customWidth="1"/>
    <col min="12520" max="12768" width="8.7109375" style="20"/>
    <col min="12769" max="12769" width="42" style="20" customWidth="1"/>
    <col min="12770" max="12770" width="6.42578125" style="20" customWidth="1"/>
    <col min="12771" max="12773" width="10.28515625" style="20" customWidth="1"/>
    <col min="12774" max="12774" width="0" style="20" hidden="1" customWidth="1"/>
    <col min="12775" max="12775" width="10.28515625" style="20" customWidth="1"/>
    <col min="12776" max="13024" width="8.7109375" style="20"/>
    <col min="13025" max="13025" width="42" style="20" customWidth="1"/>
    <col min="13026" max="13026" width="6.42578125" style="20" customWidth="1"/>
    <col min="13027" max="13029" width="10.28515625" style="20" customWidth="1"/>
    <col min="13030" max="13030" width="0" style="20" hidden="1" customWidth="1"/>
    <col min="13031" max="13031" width="10.28515625" style="20" customWidth="1"/>
    <col min="13032" max="13280" width="8.7109375" style="20"/>
    <col min="13281" max="13281" width="42" style="20" customWidth="1"/>
    <col min="13282" max="13282" width="6.42578125" style="20" customWidth="1"/>
    <col min="13283" max="13285" width="10.28515625" style="20" customWidth="1"/>
    <col min="13286" max="13286" width="0" style="20" hidden="1" customWidth="1"/>
    <col min="13287" max="13287" width="10.28515625" style="20" customWidth="1"/>
    <col min="13288" max="13536" width="8.7109375" style="20"/>
    <col min="13537" max="13537" width="42" style="20" customWidth="1"/>
    <col min="13538" max="13538" width="6.42578125" style="20" customWidth="1"/>
    <col min="13539" max="13541" width="10.28515625" style="20" customWidth="1"/>
    <col min="13542" max="13542" width="0" style="20" hidden="1" customWidth="1"/>
    <col min="13543" max="13543" width="10.28515625" style="20" customWidth="1"/>
    <col min="13544" max="13792" width="8.7109375" style="20"/>
    <col min="13793" max="13793" width="42" style="20" customWidth="1"/>
    <col min="13794" max="13794" width="6.42578125" style="20" customWidth="1"/>
    <col min="13795" max="13797" width="10.28515625" style="20" customWidth="1"/>
    <col min="13798" max="13798" width="0" style="20" hidden="1" customWidth="1"/>
    <col min="13799" max="13799" width="10.28515625" style="20" customWidth="1"/>
    <col min="13800" max="14048" width="8.7109375" style="20"/>
    <col min="14049" max="14049" width="42" style="20" customWidth="1"/>
    <col min="14050" max="14050" width="6.42578125" style="20" customWidth="1"/>
    <col min="14051" max="14053" width="10.28515625" style="20" customWidth="1"/>
    <col min="14054" max="14054" width="0" style="20" hidden="1" customWidth="1"/>
    <col min="14055" max="14055" width="10.28515625" style="20" customWidth="1"/>
    <col min="14056" max="14304" width="8.7109375" style="20"/>
    <col min="14305" max="14305" width="42" style="20" customWidth="1"/>
    <col min="14306" max="14306" width="6.42578125" style="20" customWidth="1"/>
    <col min="14307" max="14309" width="10.28515625" style="20" customWidth="1"/>
    <col min="14310" max="14310" width="0" style="20" hidden="1" customWidth="1"/>
    <col min="14311" max="14311" width="10.28515625" style="20" customWidth="1"/>
    <col min="14312" max="14560" width="8.7109375" style="20"/>
    <col min="14561" max="14561" width="42" style="20" customWidth="1"/>
    <col min="14562" max="14562" width="6.42578125" style="20" customWidth="1"/>
    <col min="14563" max="14565" width="10.28515625" style="20" customWidth="1"/>
    <col min="14566" max="14566" width="0" style="20" hidden="1" customWidth="1"/>
    <col min="14567" max="14567" width="10.28515625" style="20" customWidth="1"/>
    <col min="14568" max="14816" width="8.7109375" style="20"/>
    <col min="14817" max="14817" width="42" style="20" customWidth="1"/>
    <col min="14818" max="14818" width="6.42578125" style="20" customWidth="1"/>
    <col min="14819" max="14821" width="10.28515625" style="20" customWidth="1"/>
    <col min="14822" max="14822" width="0" style="20" hidden="1" customWidth="1"/>
    <col min="14823" max="14823" width="10.28515625" style="20" customWidth="1"/>
    <col min="14824" max="15072" width="8.7109375" style="20"/>
    <col min="15073" max="15073" width="42" style="20" customWidth="1"/>
    <col min="15074" max="15074" width="6.42578125" style="20" customWidth="1"/>
    <col min="15075" max="15077" width="10.28515625" style="20" customWidth="1"/>
    <col min="15078" max="15078" width="0" style="20" hidden="1" customWidth="1"/>
    <col min="15079" max="15079" width="10.28515625" style="20" customWidth="1"/>
    <col min="15080" max="15328" width="8.7109375" style="20"/>
    <col min="15329" max="15329" width="42" style="20" customWidth="1"/>
    <col min="15330" max="15330" width="6.42578125" style="20" customWidth="1"/>
    <col min="15331" max="15333" width="10.28515625" style="20" customWidth="1"/>
    <col min="15334" max="15334" width="0" style="20" hidden="1" customWidth="1"/>
    <col min="15335" max="15335" width="10.28515625" style="20" customWidth="1"/>
    <col min="15336" max="15584" width="8.7109375" style="20"/>
    <col min="15585" max="15585" width="42" style="20" customWidth="1"/>
    <col min="15586" max="15586" width="6.42578125" style="20" customWidth="1"/>
    <col min="15587" max="15589" width="10.28515625" style="20" customWidth="1"/>
    <col min="15590" max="15590" width="0" style="20" hidden="1" customWidth="1"/>
    <col min="15591" max="15591" width="10.28515625" style="20" customWidth="1"/>
    <col min="15592" max="15840" width="8.7109375" style="20"/>
    <col min="15841" max="15841" width="42" style="20" customWidth="1"/>
    <col min="15842" max="15842" width="6.42578125" style="20" customWidth="1"/>
    <col min="15843" max="15845" width="10.28515625" style="20" customWidth="1"/>
    <col min="15846" max="15846" width="0" style="20" hidden="1" customWidth="1"/>
    <col min="15847" max="15847" width="10.28515625" style="20" customWidth="1"/>
    <col min="15848" max="16096" width="8.7109375" style="20"/>
    <col min="16097" max="16097" width="42" style="20" customWidth="1"/>
    <col min="16098" max="16098" width="6.42578125" style="20" customWidth="1"/>
    <col min="16099" max="16101" width="10.28515625" style="20" customWidth="1"/>
    <col min="16102" max="16102" width="0" style="20" hidden="1" customWidth="1"/>
    <col min="16103" max="16103" width="10.28515625" style="20" customWidth="1"/>
    <col min="16104" max="16384" width="8.7109375" style="20"/>
  </cols>
  <sheetData>
    <row r="1" spans="1:23" ht="13.9" customHeight="1" x14ac:dyDescent="0.2">
      <c r="A1" s="18"/>
    </row>
    <row r="2" spans="1:23" ht="13.9" customHeight="1" x14ac:dyDescent="0.2">
      <c r="A2" s="91" t="s">
        <v>30</v>
      </c>
      <c r="B2" s="92" t="s">
        <v>0</v>
      </c>
      <c r="C2" s="92" t="s">
        <v>1</v>
      </c>
      <c r="D2" s="92" t="s">
        <v>3</v>
      </c>
      <c r="E2" s="92" t="s">
        <v>4</v>
      </c>
      <c r="F2" s="92" t="s">
        <v>5</v>
      </c>
      <c r="G2" s="92" t="s">
        <v>6</v>
      </c>
      <c r="H2" s="92" t="s">
        <v>8</v>
      </c>
      <c r="I2" s="92" t="s">
        <v>9</v>
      </c>
      <c r="J2" s="92" t="s">
        <v>10</v>
      </c>
      <c r="K2" s="92" t="s">
        <v>79</v>
      </c>
      <c r="L2" s="92" t="s">
        <v>82</v>
      </c>
      <c r="M2" s="92" t="s">
        <v>83</v>
      </c>
      <c r="N2" s="92" t="s">
        <v>84</v>
      </c>
      <c r="O2" s="92" t="s">
        <v>87</v>
      </c>
      <c r="P2" s="92" t="s">
        <v>90</v>
      </c>
      <c r="Q2" s="92" t="s">
        <v>91</v>
      </c>
      <c r="R2" s="92" t="s">
        <v>95</v>
      </c>
      <c r="S2" s="92" t="s">
        <v>97</v>
      </c>
      <c r="T2" s="92" t="s">
        <v>100</v>
      </c>
      <c r="U2" s="92" t="s">
        <v>101</v>
      </c>
      <c r="V2" s="92" t="s">
        <v>102</v>
      </c>
    </row>
    <row r="3" spans="1:23" ht="13.9" customHeight="1" x14ac:dyDescent="0.2">
      <c r="A3" s="43" t="s">
        <v>31</v>
      </c>
      <c r="B3" s="62">
        <v>0.3</v>
      </c>
      <c r="C3" s="62">
        <v>0.3</v>
      </c>
      <c r="D3" s="62">
        <v>0.3</v>
      </c>
      <c r="E3" s="62">
        <v>0.5</v>
      </c>
      <c r="F3" s="62">
        <v>0.5</v>
      </c>
      <c r="G3" s="62">
        <v>0.5</v>
      </c>
      <c r="H3" s="62">
        <v>0.4</v>
      </c>
      <c r="I3" s="62">
        <v>0.4</v>
      </c>
      <c r="J3" s="62">
        <v>0.4</v>
      </c>
      <c r="K3" s="62">
        <v>0.3</v>
      </c>
      <c r="L3" s="62">
        <v>0.8</v>
      </c>
      <c r="M3" s="62">
        <v>0.8</v>
      </c>
      <c r="N3" s="62">
        <v>0.8</v>
      </c>
      <c r="O3" s="62">
        <v>0.9</v>
      </c>
      <c r="P3" s="62">
        <v>0.9</v>
      </c>
      <c r="Q3" s="62">
        <v>0.9</v>
      </c>
      <c r="R3" s="62">
        <v>0.9</v>
      </c>
      <c r="S3" s="62">
        <v>3.4</v>
      </c>
      <c r="T3" s="62">
        <v>3.6</v>
      </c>
      <c r="U3" s="62">
        <v>4.5999999999999996</v>
      </c>
      <c r="V3" s="41">
        <v>4.4000000000000004</v>
      </c>
      <c r="W3" s="102"/>
    </row>
    <row r="4" spans="1:23" ht="13.9" customHeight="1" x14ac:dyDescent="0.2">
      <c r="A4" s="43" t="s">
        <v>32</v>
      </c>
      <c r="B4" s="62">
        <v>171.4</v>
      </c>
      <c r="C4" s="62">
        <v>237.1</v>
      </c>
      <c r="D4" s="62">
        <v>262.60000000000002</v>
      </c>
      <c r="E4" s="62">
        <v>234.6</v>
      </c>
      <c r="F4" s="62">
        <v>225</v>
      </c>
      <c r="G4" s="62">
        <v>226.5</v>
      </c>
      <c r="H4" s="62">
        <v>218</v>
      </c>
      <c r="I4" s="62">
        <v>211.1</v>
      </c>
      <c r="J4" s="62">
        <v>205</v>
      </c>
      <c r="K4" s="62">
        <v>197.2</v>
      </c>
      <c r="L4" s="62">
        <v>183.7</v>
      </c>
      <c r="M4" s="62">
        <v>219.2</v>
      </c>
      <c r="N4" s="62">
        <v>212.8</v>
      </c>
      <c r="O4" s="62">
        <v>209.9</v>
      </c>
      <c r="P4" s="62">
        <v>204.9</v>
      </c>
      <c r="Q4" s="62">
        <v>200.8</v>
      </c>
      <c r="R4" s="62">
        <v>133.4</v>
      </c>
      <c r="S4" s="62">
        <v>108.9</v>
      </c>
      <c r="T4" s="62">
        <v>101.2</v>
      </c>
      <c r="U4" s="62">
        <v>95.8</v>
      </c>
      <c r="V4" s="41">
        <v>111.3</v>
      </c>
    </row>
    <row r="5" spans="1:23" ht="13.9" customHeight="1" x14ac:dyDescent="0.2">
      <c r="A5" s="43" t="s">
        <v>92</v>
      </c>
      <c r="B5" s="62">
        <v>196</v>
      </c>
      <c r="C5" s="62">
        <f>216.5-0.3</f>
        <v>216.2</v>
      </c>
      <c r="D5" s="62">
        <v>249.2</v>
      </c>
      <c r="E5" s="62">
        <v>251.9</v>
      </c>
      <c r="F5" s="62">
        <v>237.3</v>
      </c>
      <c r="G5" s="62">
        <v>239</v>
      </c>
      <c r="H5" s="62">
        <v>238.4</v>
      </c>
      <c r="I5" s="62">
        <v>246.1</v>
      </c>
      <c r="J5" s="62">
        <v>255</v>
      </c>
      <c r="K5" s="62">
        <v>351</v>
      </c>
      <c r="L5" s="62">
        <f>387.4+12.4</f>
        <v>399.79999999999995</v>
      </c>
      <c r="M5" s="62">
        <f>424.9+12.5</f>
        <v>437.4</v>
      </c>
      <c r="N5" s="62">
        <f>468.1+12.3</f>
        <v>480.40000000000003</v>
      </c>
      <c r="O5" s="62">
        <f>531.8+10.4</f>
        <v>542.19999999999993</v>
      </c>
      <c r="P5" s="62">
        <v>588.70000000000005</v>
      </c>
      <c r="Q5" s="62">
        <v>636.4</v>
      </c>
      <c r="R5" s="62">
        <v>815</v>
      </c>
      <c r="S5" s="62">
        <v>1050.9000000000001</v>
      </c>
      <c r="T5" s="62">
        <v>1078.4000000000001</v>
      </c>
      <c r="U5" s="62">
        <v>1114.8</v>
      </c>
      <c r="V5" s="41">
        <v>1089.5</v>
      </c>
    </row>
    <row r="6" spans="1:23" ht="13.9" customHeight="1" x14ac:dyDescent="0.2">
      <c r="A6" s="43" t="s">
        <v>33</v>
      </c>
      <c r="B6" s="62">
        <v>88.7</v>
      </c>
      <c r="C6" s="62">
        <v>96.7</v>
      </c>
      <c r="D6" s="62">
        <f>109-10.7</f>
        <v>98.3</v>
      </c>
      <c r="E6" s="62">
        <v>100.7</v>
      </c>
      <c r="F6" s="62">
        <v>107.1</v>
      </c>
      <c r="G6" s="62">
        <v>110.2</v>
      </c>
      <c r="H6" s="62">
        <v>115.2</v>
      </c>
      <c r="I6" s="62">
        <v>134.4</v>
      </c>
      <c r="J6" s="62">
        <v>178</v>
      </c>
      <c r="K6" s="62">
        <v>175.2</v>
      </c>
      <c r="L6" s="62">
        <v>179.1</v>
      </c>
      <c r="M6" s="62">
        <v>191.6</v>
      </c>
      <c r="N6" s="62">
        <v>198.4</v>
      </c>
      <c r="O6" s="62">
        <v>212.5</v>
      </c>
      <c r="P6" s="62">
        <v>236.9</v>
      </c>
      <c r="Q6" s="62">
        <v>253.2</v>
      </c>
      <c r="R6" s="62">
        <v>284</v>
      </c>
      <c r="S6" s="62">
        <v>255.3</v>
      </c>
      <c r="T6" s="62">
        <v>263.10000000000002</v>
      </c>
      <c r="U6" s="62">
        <v>269.5</v>
      </c>
      <c r="V6" s="41">
        <v>279.60000000000002</v>
      </c>
    </row>
    <row r="7" spans="1:23" ht="13.9" customHeight="1" x14ac:dyDescent="0.2">
      <c r="A7" s="43" t="s">
        <v>34</v>
      </c>
      <c r="B7" s="62">
        <v>2.6</v>
      </c>
      <c r="C7" s="13">
        <v>0</v>
      </c>
      <c r="D7" s="13">
        <v>6.2</v>
      </c>
      <c r="E7" s="13">
        <v>6.8</v>
      </c>
      <c r="F7" s="13">
        <v>7.5</v>
      </c>
      <c r="G7" s="13">
        <v>3.3</v>
      </c>
      <c r="H7" s="13">
        <v>2.2999999999999998</v>
      </c>
      <c r="I7" s="13">
        <v>2.2999999999999998</v>
      </c>
      <c r="J7" s="13">
        <v>2</v>
      </c>
      <c r="K7" s="13">
        <v>1.6</v>
      </c>
      <c r="L7" s="13">
        <v>1.1000000000000001</v>
      </c>
      <c r="M7" s="13">
        <v>0.8</v>
      </c>
      <c r="N7" s="13">
        <v>0.6</v>
      </c>
      <c r="O7" s="13">
        <v>0.6</v>
      </c>
      <c r="P7" s="13">
        <v>0.6</v>
      </c>
      <c r="Q7" s="13">
        <v>0.6</v>
      </c>
      <c r="R7" s="13">
        <v>35.9</v>
      </c>
      <c r="S7" s="13">
        <f>41.7-7.6+0.1</f>
        <v>34.200000000000003</v>
      </c>
      <c r="T7" s="13">
        <v>34.200000000000003</v>
      </c>
      <c r="U7" s="13">
        <v>70.8</v>
      </c>
      <c r="V7" s="41">
        <v>65.599999999999994</v>
      </c>
    </row>
    <row r="8" spans="1:23" ht="13.9" customHeight="1" x14ac:dyDescent="0.2">
      <c r="A8" s="43" t="s">
        <v>99</v>
      </c>
      <c r="B8" s="62"/>
      <c r="C8" s="13"/>
      <c r="D8" s="13"/>
      <c r="E8" s="13"/>
      <c r="F8" s="13"/>
      <c r="G8" s="13"/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7.6</v>
      </c>
      <c r="T8" s="13">
        <v>11.7</v>
      </c>
      <c r="U8" s="13">
        <v>15</v>
      </c>
      <c r="V8" s="41">
        <v>12.4</v>
      </c>
    </row>
    <row r="9" spans="1:23" ht="13.9" customHeight="1" x14ac:dyDescent="0.2">
      <c r="A9" s="43" t="s">
        <v>35</v>
      </c>
      <c r="B9" s="6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2.9</v>
      </c>
      <c r="I9" s="13">
        <v>1.5</v>
      </c>
      <c r="J9" s="13">
        <v>2</v>
      </c>
      <c r="K9" s="13">
        <v>2.1</v>
      </c>
      <c r="L9" s="13">
        <v>5.0999999999999996</v>
      </c>
      <c r="M9" s="13">
        <v>7.3</v>
      </c>
      <c r="N9" s="13">
        <v>9.5</v>
      </c>
      <c r="O9" s="13">
        <v>9.1999999999999993</v>
      </c>
      <c r="P9" s="13">
        <v>9.3000000000000007</v>
      </c>
      <c r="Q9" s="13">
        <v>0.2</v>
      </c>
      <c r="R9" s="13">
        <v>1.1000000000000001</v>
      </c>
      <c r="S9" s="13">
        <v>0.1</v>
      </c>
      <c r="T9" s="13">
        <v>0.4</v>
      </c>
      <c r="U9" s="13">
        <v>0.6</v>
      </c>
      <c r="V9" s="41">
        <v>0</v>
      </c>
    </row>
    <row r="10" spans="1:23" ht="13.9" customHeight="1" x14ac:dyDescent="0.2">
      <c r="A10" s="43" t="s">
        <v>106</v>
      </c>
      <c r="B10" s="62"/>
      <c r="C10" s="13"/>
      <c r="D10" s="13"/>
      <c r="E10" s="13"/>
      <c r="F10" s="13"/>
      <c r="G10" s="13"/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41">
        <v>13.3</v>
      </c>
    </row>
    <row r="11" spans="1:23" ht="13.9" customHeight="1" x14ac:dyDescent="0.2">
      <c r="A11" s="44" t="s">
        <v>36</v>
      </c>
      <c r="B11" s="63">
        <f>SUM(B3:B9)</f>
        <v>459.00000000000006</v>
      </c>
      <c r="C11" s="63">
        <f>SUM(C3:C9)</f>
        <v>550.30000000000007</v>
      </c>
      <c r="D11" s="63">
        <f>SUM(D3:D9)</f>
        <v>616.6</v>
      </c>
      <c r="E11" s="63">
        <v>594.5</v>
      </c>
      <c r="F11" s="63">
        <f t="shared" ref="F11:G11" si="0">SUM(F3:F9)</f>
        <v>577.4</v>
      </c>
      <c r="G11" s="63">
        <f t="shared" si="0"/>
        <v>579.5</v>
      </c>
      <c r="H11" s="63">
        <f t="shared" ref="H11:P11" si="1">SUM(H3:H10)</f>
        <v>577.19999999999993</v>
      </c>
      <c r="I11" s="63">
        <f t="shared" si="1"/>
        <v>595.79999999999995</v>
      </c>
      <c r="J11" s="63">
        <f t="shared" si="1"/>
        <v>642.4</v>
      </c>
      <c r="K11" s="63">
        <f t="shared" si="1"/>
        <v>727.40000000000009</v>
      </c>
      <c r="L11" s="63">
        <f t="shared" si="1"/>
        <v>769.6</v>
      </c>
      <c r="M11" s="63">
        <f t="shared" si="1"/>
        <v>857.09999999999991</v>
      </c>
      <c r="N11" s="63">
        <f t="shared" si="1"/>
        <v>902.5</v>
      </c>
      <c r="O11" s="63">
        <f t="shared" si="1"/>
        <v>975.30000000000007</v>
      </c>
      <c r="P11" s="63">
        <f t="shared" si="1"/>
        <v>1041.3</v>
      </c>
      <c r="Q11" s="63">
        <v>1092.0999999999999</v>
      </c>
      <c r="R11" s="63">
        <v>1270.3</v>
      </c>
      <c r="S11" s="63">
        <f>SUM(S3:S10)</f>
        <v>1460.3999999999999</v>
      </c>
      <c r="T11" s="63">
        <f>SUM(T3:T10)</f>
        <v>1492.6000000000004</v>
      </c>
      <c r="U11" s="63">
        <v>1571.1</v>
      </c>
      <c r="V11" s="64">
        <f>SUM(V3:V10)</f>
        <v>1576.1000000000001</v>
      </c>
    </row>
    <row r="12" spans="1:23" ht="13.9" customHeight="1" x14ac:dyDescent="0.2">
      <c r="A12" s="4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</row>
    <row r="13" spans="1:23" ht="13.9" customHeight="1" x14ac:dyDescent="0.2">
      <c r="A13" s="43" t="s">
        <v>37</v>
      </c>
      <c r="B13" s="62">
        <v>11.5</v>
      </c>
      <c r="C13" s="62">
        <v>9.4</v>
      </c>
      <c r="D13" s="62">
        <v>9.6</v>
      </c>
      <c r="E13" s="62">
        <v>8.6</v>
      </c>
      <c r="F13" s="62">
        <v>18.3</v>
      </c>
      <c r="G13" s="62">
        <v>8.4</v>
      </c>
      <c r="H13" s="62">
        <v>14</v>
      </c>
      <c r="I13" s="62">
        <v>13.6</v>
      </c>
      <c r="J13" s="62">
        <v>27</v>
      </c>
      <c r="K13" s="62">
        <v>7.4</v>
      </c>
      <c r="L13" s="62">
        <v>5.7</v>
      </c>
      <c r="M13" s="62">
        <v>25.1</v>
      </c>
      <c r="N13" s="62">
        <v>35.5</v>
      </c>
      <c r="O13" s="62">
        <v>11.5</v>
      </c>
      <c r="P13" s="62">
        <v>7.2</v>
      </c>
      <c r="Q13" s="62">
        <v>8.1</v>
      </c>
      <c r="R13" s="62">
        <v>40.799999999999997</v>
      </c>
      <c r="S13" s="62">
        <v>33.5</v>
      </c>
      <c r="T13" s="62">
        <v>58</v>
      </c>
      <c r="U13" s="62">
        <v>58.3</v>
      </c>
      <c r="V13" s="67">
        <v>55.3</v>
      </c>
    </row>
    <row r="14" spans="1:23" ht="13.9" customHeight="1" x14ac:dyDescent="0.2">
      <c r="A14" s="43" t="s">
        <v>38</v>
      </c>
      <c r="B14" s="62">
        <v>17.7</v>
      </c>
      <c r="C14" s="62">
        <v>97.1</v>
      </c>
      <c r="D14" s="62">
        <f>218.9-177.9</f>
        <v>41</v>
      </c>
      <c r="E14" s="62">
        <v>45.6</v>
      </c>
      <c r="F14" s="62">
        <v>16.3</v>
      </c>
      <c r="G14" s="62">
        <v>54.6</v>
      </c>
      <c r="H14" s="62">
        <v>59.5</v>
      </c>
      <c r="I14" s="62">
        <v>64.099999999999994</v>
      </c>
      <c r="J14" s="62">
        <v>38.6</v>
      </c>
      <c r="K14" s="62">
        <v>71.8</v>
      </c>
      <c r="L14" s="62">
        <v>145.30000000000001</v>
      </c>
      <c r="M14" s="62">
        <v>33.700000000000003</v>
      </c>
      <c r="N14" s="62">
        <v>30.1</v>
      </c>
      <c r="O14" s="62">
        <v>18.100000000000001</v>
      </c>
      <c r="P14" s="62">
        <v>34.4</v>
      </c>
      <c r="Q14" s="62">
        <v>34.9</v>
      </c>
      <c r="R14" s="62">
        <v>73.400000000000006</v>
      </c>
      <c r="S14" s="62">
        <v>51.7</v>
      </c>
      <c r="T14" s="62">
        <v>113.9</v>
      </c>
      <c r="U14" s="62">
        <v>105.1</v>
      </c>
      <c r="V14" s="67">
        <v>73.3</v>
      </c>
    </row>
    <row r="15" spans="1:23" ht="13.9" customHeight="1" x14ac:dyDescent="0.2">
      <c r="A15" s="43" t="s">
        <v>35</v>
      </c>
      <c r="B15" s="62"/>
      <c r="C15" s="62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1.1000000000000001</v>
      </c>
      <c r="R15" s="62">
        <v>0</v>
      </c>
      <c r="S15" s="62">
        <v>0.6</v>
      </c>
      <c r="T15" s="62">
        <v>0</v>
      </c>
      <c r="U15" s="62">
        <v>0</v>
      </c>
      <c r="V15" s="67">
        <v>5</v>
      </c>
    </row>
    <row r="16" spans="1:23" ht="13.9" customHeight="1" x14ac:dyDescent="0.2">
      <c r="A16" s="43" t="s">
        <v>39</v>
      </c>
      <c r="B16" s="62">
        <v>85.4</v>
      </c>
      <c r="C16" s="62">
        <v>81</v>
      </c>
      <c r="D16" s="62">
        <v>168.3</v>
      </c>
      <c r="E16" s="62">
        <v>127.6</v>
      </c>
      <c r="F16" s="62">
        <v>145.30000000000001</v>
      </c>
      <c r="G16" s="62">
        <v>120.6</v>
      </c>
      <c r="H16" s="62">
        <v>184.8</v>
      </c>
      <c r="I16" s="62">
        <v>216.5</v>
      </c>
      <c r="J16" s="62">
        <v>170.6</v>
      </c>
      <c r="K16" s="62">
        <v>150.9</v>
      </c>
      <c r="L16" s="62">
        <v>110.8</v>
      </c>
      <c r="M16" s="62">
        <v>123.3</v>
      </c>
      <c r="N16" s="62">
        <v>186.5</v>
      </c>
      <c r="O16" s="62">
        <v>210.8</v>
      </c>
      <c r="P16" s="62">
        <v>166.4</v>
      </c>
      <c r="Q16" s="62">
        <v>233.5</v>
      </c>
      <c r="R16" s="62">
        <v>197.7</v>
      </c>
      <c r="S16" s="62">
        <v>194.2</v>
      </c>
      <c r="T16" s="62">
        <v>150.1</v>
      </c>
      <c r="U16" s="62">
        <v>244.2</v>
      </c>
      <c r="V16" s="67">
        <v>209.8</v>
      </c>
    </row>
    <row r="17" spans="1:22" ht="13.9" hidden="1" customHeight="1" x14ac:dyDescent="0.2">
      <c r="A17" s="43" t="s">
        <v>40</v>
      </c>
      <c r="B17" s="13">
        <v>25.5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41">
        <v>0</v>
      </c>
    </row>
    <row r="18" spans="1:22" ht="13.9" customHeight="1" x14ac:dyDescent="0.2">
      <c r="A18" s="44" t="s">
        <v>41</v>
      </c>
      <c r="B18" s="63">
        <f>SUM(B13:B17)</f>
        <v>140.10000000000002</v>
      </c>
      <c r="C18" s="63">
        <f>SUM(C13:C17)</f>
        <v>187.5</v>
      </c>
      <c r="D18" s="63">
        <f>SUM(D13:D17)</f>
        <v>218.9</v>
      </c>
      <c r="E18" s="63">
        <v>181.8</v>
      </c>
      <c r="F18" s="63">
        <f t="shared" ref="F18:K18" si="2">SUM(F13:F17)</f>
        <v>179.9</v>
      </c>
      <c r="G18" s="63">
        <f t="shared" si="2"/>
        <v>183.6</v>
      </c>
      <c r="H18" s="63">
        <f t="shared" si="2"/>
        <v>258.3</v>
      </c>
      <c r="I18" s="63">
        <f t="shared" si="2"/>
        <v>294.2</v>
      </c>
      <c r="J18" s="63">
        <f t="shared" si="2"/>
        <v>236.2</v>
      </c>
      <c r="K18" s="63">
        <f t="shared" si="2"/>
        <v>230.10000000000002</v>
      </c>
      <c r="L18" s="63">
        <v>261.8</v>
      </c>
      <c r="M18" s="63">
        <v>182.1</v>
      </c>
      <c r="N18" s="63">
        <f>SUM(N13:N17)</f>
        <v>252.1</v>
      </c>
      <c r="O18" s="63">
        <f>SUM(O13:O17)</f>
        <v>240.4</v>
      </c>
      <c r="P18" s="63">
        <f>SUM(P13:P17)</f>
        <v>208</v>
      </c>
      <c r="Q18" s="63">
        <v>277.60000000000002</v>
      </c>
      <c r="R18" s="63">
        <v>311.89999999999998</v>
      </c>
      <c r="S18" s="63">
        <f>SUM(S13:S17)</f>
        <v>280</v>
      </c>
      <c r="T18" s="63">
        <f>SUM(T13:T17)</f>
        <v>322</v>
      </c>
      <c r="U18" s="63">
        <v>407.59999999999997</v>
      </c>
      <c r="V18" s="64">
        <f>SUM(V13:V17)</f>
        <v>343.4</v>
      </c>
    </row>
    <row r="19" spans="1:22" ht="13.9" customHeight="1" x14ac:dyDescent="0.2">
      <c r="A19" s="46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1:22" ht="13.9" customHeight="1" x14ac:dyDescent="0.2">
      <c r="A20" s="44" t="s">
        <v>42</v>
      </c>
      <c r="B20" s="63">
        <f>B18+B11</f>
        <v>599.10000000000014</v>
      </c>
      <c r="C20" s="63">
        <f>C18+C11</f>
        <v>737.80000000000007</v>
      </c>
      <c r="D20" s="63">
        <f>D18+D11</f>
        <v>835.5</v>
      </c>
      <c r="E20" s="63">
        <v>776.3</v>
      </c>
      <c r="F20" s="63">
        <f t="shared" ref="F20:M20" si="3">F18+F11</f>
        <v>757.3</v>
      </c>
      <c r="G20" s="63">
        <f t="shared" si="3"/>
        <v>763.1</v>
      </c>
      <c r="H20" s="63">
        <f t="shared" si="3"/>
        <v>835.5</v>
      </c>
      <c r="I20" s="63">
        <f t="shared" si="3"/>
        <v>890</v>
      </c>
      <c r="J20" s="63">
        <f t="shared" si="3"/>
        <v>878.59999999999991</v>
      </c>
      <c r="K20" s="63">
        <f t="shared" si="3"/>
        <v>957.50000000000011</v>
      </c>
      <c r="L20" s="63">
        <f t="shared" si="3"/>
        <v>1031.4000000000001</v>
      </c>
      <c r="M20" s="63">
        <f t="shared" si="3"/>
        <v>1039.1999999999998</v>
      </c>
      <c r="N20" s="63">
        <f>N18+N11</f>
        <v>1154.5999999999999</v>
      </c>
      <c r="O20" s="63">
        <f>O18+O11</f>
        <v>1215.7</v>
      </c>
      <c r="P20" s="63">
        <f>P18+P11</f>
        <v>1249.3</v>
      </c>
      <c r="Q20" s="63">
        <v>1369.6999999999998</v>
      </c>
      <c r="R20" s="63">
        <v>1582.1999999999998</v>
      </c>
      <c r="S20" s="63">
        <f>S18+S11</f>
        <v>1740.3999999999999</v>
      </c>
      <c r="T20" s="63">
        <f>T18+T11</f>
        <v>1814.6000000000004</v>
      </c>
      <c r="U20" s="63">
        <v>1978.6999999999998</v>
      </c>
      <c r="V20" s="64">
        <f>V18+V11</f>
        <v>1919.5</v>
      </c>
    </row>
    <row r="21" spans="1:22" ht="13.9" customHeight="1" x14ac:dyDescent="0.2">
      <c r="A21" s="4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13.9" customHeight="1" x14ac:dyDescent="0.2">
      <c r="A22" s="91" t="s">
        <v>43</v>
      </c>
      <c r="B22" s="92" t="str">
        <f>+B2</f>
        <v>Q3 2019</v>
      </c>
      <c r="C22" s="92" t="str">
        <f>+C2</f>
        <v>Q4 2019</v>
      </c>
      <c r="D22" s="92" t="str">
        <f>+D2</f>
        <v>Q1 2020</v>
      </c>
      <c r="E22" s="92" t="s">
        <v>4</v>
      </c>
      <c r="F22" s="92" t="str">
        <f t="shared" ref="F22:K22" si="4">+F2</f>
        <v>Q3 2020</v>
      </c>
      <c r="G22" s="92" t="str">
        <f t="shared" si="4"/>
        <v>Q4 2020</v>
      </c>
      <c r="H22" s="92" t="str">
        <f t="shared" si="4"/>
        <v>Q1 2021</v>
      </c>
      <c r="I22" s="92" t="str">
        <f t="shared" si="4"/>
        <v>Q2 2021</v>
      </c>
      <c r="J22" s="92" t="str">
        <f t="shared" si="4"/>
        <v>Q3 2021</v>
      </c>
      <c r="K22" s="92" t="str">
        <f t="shared" si="4"/>
        <v>Q4 2021</v>
      </c>
      <c r="L22" s="92" t="s">
        <v>82</v>
      </c>
      <c r="M22" s="92" t="s">
        <v>83</v>
      </c>
      <c r="N22" s="92" t="str">
        <f>+N2</f>
        <v>Q3 2022</v>
      </c>
      <c r="O22" s="92" t="str">
        <f>+O2</f>
        <v>Q4 2022</v>
      </c>
      <c r="P22" s="92" t="str">
        <f>+P2</f>
        <v>Q1 2023</v>
      </c>
      <c r="Q22" s="92" t="s">
        <v>91</v>
      </c>
      <c r="R22" s="92" t="s">
        <v>95</v>
      </c>
      <c r="S22" s="92" t="str">
        <f>+S2</f>
        <v>Q4 2023</v>
      </c>
      <c r="T22" s="92" t="str">
        <f>+T2</f>
        <v>Q1 2024</v>
      </c>
      <c r="U22" s="92" t="s">
        <v>101</v>
      </c>
      <c r="V22" s="92" t="str">
        <f>+V2</f>
        <v>Q3 2024</v>
      </c>
    </row>
    <row r="23" spans="1:22" ht="13.9" customHeight="1" x14ac:dyDescent="0.2">
      <c r="A23" s="43" t="s">
        <v>44</v>
      </c>
      <c r="B23" s="62">
        <v>182.7</v>
      </c>
      <c r="C23" s="62">
        <v>363.1</v>
      </c>
      <c r="D23" s="62">
        <f>471.6-10.7</f>
        <v>460.90000000000003</v>
      </c>
      <c r="E23" s="62">
        <v>455.3</v>
      </c>
      <c r="F23" s="62">
        <v>448.4</v>
      </c>
      <c r="G23" s="62">
        <v>443.2</v>
      </c>
      <c r="H23" s="62">
        <v>524.79999999999995</v>
      </c>
      <c r="I23" s="62">
        <v>540.29999999999995</v>
      </c>
      <c r="J23" s="62">
        <v>530.20000000000005</v>
      </c>
      <c r="K23" s="62">
        <v>569.20000000000005</v>
      </c>
      <c r="L23" s="62">
        <v>605.1</v>
      </c>
      <c r="M23" s="62">
        <v>588.9</v>
      </c>
      <c r="N23" s="62">
        <v>623</v>
      </c>
      <c r="O23" s="62">
        <v>615.29999999999995</v>
      </c>
      <c r="P23" s="62">
        <v>610.6</v>
      </c>
      <c r="Q23" s="62">
        <v>616.20000000000005</v>
      </c>
      <c r="R23" s="62">
        <v>617.1</v>
      </c>
      <c r="S23" s="62">
        <v>697.6</v>
      </c>
      <c r="T23" s="62">
        <v>744.9</v>
      </c>
      <c r="U23" s="62">
        <v>759.8</v>
      </c>
      <c r="V23" s="67">
        <v>805.4</v>
      </c>
    </row>
    <row r="24" spans="1:22" ht="13.9" customHeight="1" x14ac:dyDescent="0.2">
      <c r="A24" s="43" t="s">
        <v>45</v>
      </c>
      <c r="B24" s="62">
        <v>94.2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41">
        <v>0</v>
      </c>
    </row>
    <row r="25" spans="1:22" ht="13.9" customHeight="1" x14ac:dyDescent="0.2">
      <c r="A25" s="44" t="s">
        <v>46</v>
      </c>
      <c r="B25" s="63">
        <f>SUM(B23:B24)</f>
        <v>276.89999999999998</v>
      </c>
      <c r="C25" s="63">
        <f>SUM(C23:C24)</f>
        <v>363.1</v>
      </c>
      <c r="D25" s="63">
        <f>SUM(D23:D24)</f>
        <v>460.90000000000003</v>
      </c>
      <c r="E25" s="63">
        <v>455.3</v>
      </c>
      <c r="F25" s="63">
        <f t="shared" ref="F25:K25" si="5">SUM(F23:F24)</f>
        <v>448.4</v>
      </c>
      <c r="G25" s="63">
        <f t="shared" si="5"/>
        <v>443.2</v>
      </c>
      <c r="H25" s="63">
        <f t="shared" si="5"/>
        <v>524.79999999999995</v>
      </c>
      <c r="I25" s="63">
        <f t="shared" si="5"/>
        <v>540.29999999999995</v>
      </c>
      <c r="J25" s="63">
        <f t="shared" si="5"/>
        <v>530.20000000000005</v>
      </c>
      <c r="K25" s="63">
        <f t="shared" si="5"/>
        <v>569.20000000000005</v>
      </c>
      <c r="L25" s="63">
        <v>605.1</v>
      </c>
      <c r="M25" s="63">
        <v>588.9</v>
      </c>
      <c r="N25" s="63">
        <f>SUM(N23:N24)</f>
        <v>623</v>
      </c>
      <c r="O25" s="63">
        <f>SUM(O23:O24)</f>
        <v>615.29999999999995</v>
      </c>
      <c r="P25" s="63">
        <f>SUM(P23:P24)</f>
        <v>610.6</v>
      </c>
      <c r="Q25" s="63">
        <v>616.20000000000005</v>
      </c>
      <c r="R25" s="63">
        <v>617.1</v>
      </c>
      <c r="S25" s="63">
        <f>+S23+S24</f>
        <v>697.6</v>
      </c>
      <c r="T25" s="63">
        <f>SUM(T23:T24)</f>
        <v>744.9</v>
      </c>
      <c r="U25" s="63">
        <v>759.8</v>
      </c>
      <c r="V25" s="64">
        <f>SUM(V23:V24)</f>
        <v>805.4</v>
      </c>
    </row>
    <row r="26" spans="1:22" ht="13.9" customHeight="1" x14ac:dyDescent="0.2">
      <c r="A26" s="4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</row>
    <row r="27" spans="1:22" ht="12.75" x14ac:dyDescent="0.2">
      <c r="A27" s="43" t="s">
        <v>47</v>
      </c>
      <c r="B27" s="62">
        <v>30.4</v>
      </c>
      <c r="C27" s="62">
        <v>27.6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41">
        <v>0</v>
      </c>
    </row>
    <row r="28" spans="1:22" ht="13.9" customHeight="1" x14ac:dyDescent="0.2">
      <c r="A28" s="43" t="s">
        <v>85</v>
      </c>
      <c r="B28" s="62"/>
      <c r="C28" s="62"/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94.1</v>
      </c>
      <c r="O28" s="62">
        <v>164.9</v>
      </c>
      <c r="P28" s="62">
        <v>192.8</v>
      </c>
      <c r="Q28" s="62">
        <v>292</v>
      </c>
      <c r="R28" s="62">
        <v>292.3</v>
      </c>
      <c r="S28" s="62">
        <v>292.60000000000002</v>
      </c>
      <c r="T28" s="62">
        <v>292.89999999999998</v>
      </c>
      <c r="U28" s="62">
        <v>454.7</v>
      </c>
      <c r="V28" s="67">
        <v>451.4</v>
      </c>
    </row>
    <row r="29" spans="1:22" ht="13.9" customHeight="1" x14ac:dyDescent="0.2">
      <c r="A29" s="43" t="s">
        <v>48</v>
      </c>
      <c r="B29" s="62">
        <v>2.7</v>
      </c>
      <c r="C29" s="62">
        <v>3.1</v>
      </c>
      <c r="D29" s="62">
        <v>3.6</v>
      </c>
      <c r="E29" s="62">
        <v>4</v>
      </c>
      <c r="F29" s="62">
        <v>4.4000000000000004</v>
      </c>
      <c r="G29" s="62">
        <v>4.9000000000000004</v>
      </c>
      <c r="H29" s="62">
        <v>5.4</v>
      </c>
      <c r="I29" s="62">
        <v>5.9</v>
      </c>
      <c r="J29" s="62">
        <v>6.4</v>
      </c>
      <c r="K29" s="62">
        <v>6.9</v>
      </c>
      <c r="L29" s="62">
        <v>7.5</v>
      </c>
      <c r="M29" s="62">
        <v>8.1</v>
      </c>
      <c r="N29" s="62">
        <v>8.5</v>
      </c>
      <c r="O29" s="62">
        <v>9.3000000000000007</v>
      </c>
      <c r="P29" s="62">
        <v>9.9</v>
      </c>
      <c r="Q29" s="62">
        <v>10.4</v>
      </c>
      <c r="R29" s="62">
        <v>11</v>
      </c>
      <c r="S29" s="62">
        <v>11.7</v>
      </c>
      <c r="T29" s="62">
        <v>11.8</v>
      </c>
      <c r="U29" s="62">
        <v>12.3</v>
      </c>
      <c r="V29" s="67">
        <v>12.7</v>
      </c>
    </row>
    <row r="30" spans="1:22" ht="13.9" customHeight="1" x14ac:dyDescent="0.2">
      <c r="A30" s="43" t="s">
        <v>93</v>
      </c>
      <c r="B30" s="62">
        <v>15.5</v>
      </c>
      <c r="C30" s="62">
        <v>8.9</v>
      </c>
      <c r="D30" s="62">
        <v>11.2</v>
      </c>
      <c r="E30" s="62">
        <v>12.7</v>
      </c>
      <c r="F30" s="62">
        <v>12.9</v>
      </c>
      <c r="G30" s="62">
        <v>13</v>
      </c>
      <c r="H30" s="62">
        <v>13.2</v>
      </c>
      <c r="I30" s="62">
        <v>14.7</v>
      </c>
      <c r="J30" s="62">
        <v>14.9</v>
      </c>
      <c r="K30" s="62">
        <v>14.2</v>
      </c>
      <c r="L30" s="62">
        <f>14.4+12.4</f>
        <v>26.8</v>
      </c>
      <c r="M30" s="62">
        <f>14.6+12.5</f>
        <v>27.1</v>
      </c>
      <c r="N30" s="62">
        <f>14.9+12.3</f>
        <v>27.200000000000003</v>
      </c>
      <c r="O30" s="62">
        <f>13.4+10.4</f>
        <v>23.8</v>
      </c>
      <c r="P30" s="62">
        <v>24</v>
      </c>
      <c r="Q30" s="62">
        <v>25.1</v>
      </c>
      <c r="R30" s="62">
        <v>179.4</v>
      </c>
      <c r="S30" s="62">
        <v>224</v>
      </c>
      <c r="T30" s="62">
        <v>226.7</v>
      </c>
      <c r="U30" s="62">
        <v>229.6</v>
      </c>
      <c r="V30" s="67">
        <v>171</v>
      </c>
    </row>
    <row r="31" spans="1:22" ht="13.9" customHeight="1" x14ac:dyDescent="0.2">
      <c r="A31" s="43" t="s">
        <v>49</v>
      </c>
      <c r="B31" s="62">
        <v>158</v>
      </c>
      <c r="C31" s="62">
        <v>228</v>
      </c>
      <c r="D31" s="62">
        <v>254.9</v>
      </c>
      <c r="E31" s="62">
        <v>235.4</v>
      </c>
      <c r="F31" s="62">
        <v>231.4</v>
      </c>
      <c r="G31" s="62">
        <v>233.1</v>
      </c>
      <c r="H31" s="62">
        <v>228.1</v>
      </c>
      <c r="I31" s="62">
        <v>223.1</v>
      </c>
      <c r="J31" s="62">
        <v>218.1</v>
      </c>
      <c r="K31" s="62">
        <v>213.6</v>
      </c>
      <c r="L31" s="62">
        <v>204.7</v>
      </c>
      <c r="M31" s="62">
        <v>245.5</v>
      </c>
      <c r="N31" s="62">
        <v>191.4</v>
      </c>
      <c r="O31" s="62">
        <v>187.2</v>
      </c>
      <c r="P31" s="62">
        <v>183</v>
      </c>
      <c r="Q31" s="62">
        <v>178.6</v>
      </c>
      <c r="R31" s="62">
        <v>94.4</v>
      </c>
      <c r="S31" s="62">
        <v>108.6</v>
      </c>
      <c r="T31" s="62">
        <v>99.5</v>
      </c>
      <c r="U31" s="62">
        <v>93</v>
      </c>
      <c r="V31" s="67">
        <v>93.4</v>
      </c>
    </row>
    <row r="32" spans="1:22" ht="13.9" customHeight="1" x14ac:dyDescent="0.2">
      <c r="A32" s="43" t="s">
        <v>81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50.3</v>
      </c>
      <c r="L32" s="62">
        <v>50.3</v>
      </c>
      <c r="M32" s="62">
        <v>50.3</v>
      </c>
      <c r="N32" s="62">
        <v>50.3</v>
      </c>
      <c r="O32" s="62">
        <v>33.6</v>
      </c>
      <c r="P32" s="62">
        <v>33.6</v>
      </c>
      <c r="Q32" s="62">
        <v>33.6</v>
      </c>
      <c r="R32" s="62">
        <v>46.3</v>
      </c>
      <c r="S32" s="62">
        <v>67.400000000000006</v>
      </c>
      <c r="T32" s="62">
        <v>45.4</v>
      </c>
      <c r="U32" s="62">
        <v>45</v>
      </c>
      <c r="V32" s="67">
        <v>31.4</v>
      </c>
    </row>
    <row r="33" spans="1:22" ht="13.9" customHeight="1" x14ac:dyDescent="0.2">
      <c r="A33" s="43" t="s">
        <v>35</v>
      </c>
      <c r="B33" s="13">
        <v>0</v>
      </c>
      <c r="C33" s="13">
        <v>0</v>
      </c>
      <c r="D33" s="13">
        <v>1.4</v>
      </c>
      <c r="E33" s="13">
        <v>2</v>
      </c>
      <c r="F33" s="13">
        <v>1.7</v>
      </c>
      <c r="G33" s="13">
        <v>0.4</v>
      </c>
      <c r="H33" s="13">
        <v>0</v>
      </c>
      <c r="I33" s="13">
        <v>0</v>
      </c>
      <c r="J33" s="13">
        <v>0</v>
      </c>
      <c r="K33" s="13">
        <v>0</v>
      </c>
      <c r="L33" s="13">
        <v>5</v>
      </c>
      <c r="M33" s="13">
        <v>4.5</v>
      </c>
      <c r="N33" s="13">
        <v>0</v>
      </c>
      <c r="O33" s="13">
        <v>1.4</v>
      </c>
      <c r="P33" s="13">
        <v>0.6</v>
      </c>
      <c r="Q33" s="13">
        <v>0</v>
      </c>
      <c r="R33" s="13">
        <v>1.9</v>
      </c>
      <c r="S33" s="13">
        <v>0.4</v>
      </c>
      <c r="T33" s="13">
        <v>0.5</v>
      </c>
      <c r="U33" s="13">
        <v>0.8</v>
      </c>
      <c r="V33" s="67">
        <v>0.2</v>
      </c>
    </row>
    <row r="34" spans="1:22" ht="13.9" customHeight="1" x14ac:dyDescent="0.2">
      <c r="A34" s="44" t="s">
        <v>50</v>
      </c>
      <c r="B34" s="63">
        <f>SUM(B27:B33)</f>
        <v>206.6</v>
      </c>
      <c r="C34" s="63">
        <f>SUM(C27:C33)</f>
        <v>267.60000000000002</v>
      </c>
      <c r="D34" s="63">
        <f>SUM(D27:D33)</f>
        <v>271.09999999999997</v>
      </c>
      <c r="E34" s="63">
        <v>254.1</v>
      </c>
      <c r="F34" s="63">
        <f t="shared" ref="F34:M34" si="6">SUM(F27:F33)</f>
        <v>250.4</v>
      </c>
      <c r="G34" s="63">
        <f t="shared" si="6"/>
        <v>251.4</v>
      </c>
      <c r="H34" s="63">
        <f t="shared" si="6"/>
        <v>246.7</v>
      </c>
      <c r="I34" s="63">
        <f t="shared" si="6"/>
        <v>243.7</v>
      </c>
      <c r="J34" s="63">
        <f t="shared" si="6"/>
        <v>239.4</v>
      </c>
      <c r="K34" s="63">
        <f t="shared" si="6"/>
        <v>285</v>
      </c>
      <c r="L34" s="63">
        <f t="shared" si="6"/>
        <v>294.3</v>
      </c>
      <c r="M34" s="63">
        <f t="shared" si="6"/>
        <v>335.5</v>
      </c>
      <c r="N34" s="63">
        <f>SUM(N27:N33)</f>
        <v>371.50000000000006</v>
      </c>
      <c r="O34" s="63">
        <f>SUM(O27:O33)</f>
        <v>420.20000000000005</v>
      </c>
      <c r="P34" s="63">
        <f>SUM(P27:P33)</f>
        <v>443.90000000000009</v>
      </c>
      <c r="Q34" s="63">
        <v>539.70000000000005</v>
      </c>
      <c r="R34" s="63">
        <v>625.29999999999995</v>
      </c>
      <c r="S34" s="63">
        <f>SUM(S27:S33)</f>
        <v>704.69999999999993</v>
      </c>
      <c r="T34" s="63">
        <f>SUM(T27:T33)</f>
        <v>676.8</v>
      </c>
      <c r="U34" s="63">
        <v>835.4</v>
      </c>
      <c r="V34" s="64">
        <f>SUM(V27:V33)</f>
        <v>760.09999999999991</v>
      </c>
    </row>
    <row r="35" spans="1:22" ht="13.9" customHeight="1" x14ac:dyDescent="0.2">
      <c r="A35" s="4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</row>
    <row r="36" spans="1:22" ht="13.9" customHeight="1" x14ac:dyDescent="0.2">
      <c r="A36" s="43" t="s">
        <v>96</v>
      </c>
      <c r="B36" s="65"/>
      <c r="C36" s="65"/>
      <c r="D36" s="65"/>
      <c r="E36" s="65"/>
      <c r="F36" s="65"/>
      <c r="G36" s="65"/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103">
        <v>79.900000000000006</v>
      </c>
      <c r="S36" s="103">
        <v>79.900000000000006</v>
      </c>
      <c r="T36" s="103">
        <v>119.9</v>
      </c>
      <c r="U36" s="103">
        <v>134.5</v>
      </c>
      <c r="V36" s="100">
        <v>104.6</v>
      </c>
    </row>
    <row r="37" spans="1:22" ht="13.9" customHeight="1" x14ac:dyDescent="0.2">
      <c r="A37" s="43" t="s">
        <v>51</v>
      </c>
      <c r="B37" s="62">
        <v>96.2</v>
      </c>
      <c r="C37" s="62">
        <v>90.5</v>
      </c>
      <c r="D37" s="62">
        <f>103.5-18.7</f>
        <v>84.8</v>
      </c>
      <c r="E37" s="62">
        <v>51</v>
      </c>
      <c r="F37" s="62">
        <v>42.4</v>
      </c>
      <c r="G37" s="62">
        <v>48.9</v>
      </c>
      <c r="H37" s="62">
        <v>44.4</v>
      </c>
      <c r="I37" s="62">
        <v>86.2</v>
      </c>
      <c r="J37" s="62">
        <v>88.9</v>
      </c>
      <c r="K37" s="62">
        <v>82.8</v>
      </c>
      <c r="L37" s="62">
        <v>96.4</v>
      </c>
      <c r="M37" s="62">
        <v>88.3</v>
      </c>
      <c r="N37" s="62">
        <v>90.4</v>
      </c>
      <c r="O37" s="62">
        <v>106.3</v>
      </c>
      <c r="P37" s="62">
        <v>124.3</v>
      </c>
      <c r="Q37" s="62">
        <v>144.4</v>
      </c>
      <c r="R37" s="62">
        <v>170.1</v>
      </c>
      <c r="S37" s="62">
        <v>219.7</v>
      </c>
      <c r="T37" s="62">
        <v>231.8</v>
      </c>
      <c r="U37" s="62">
        <v>205.8</v>
      </c>
      <c r="V37" s="67">
        <v>200.1</v>
      </c>
    </row>
    <row r="38" spans="1:22" ht="13.9" customHeight="1" x14ac:dyDescent="0.2">
      <c r="A38" s="43" t="s">
        <v>52</v>
      </c>
      <c r="B38" s="62">
        <v>19</v>
      </c>
      <c r="C38" s="62">
        <v>16.600000000000001</v>
      </c>
      <c r="D38" s="62">
        <v>18.7</v>
      </c>
      <c r="E38" s="62">
        <v>15.8</v>
      </c>
      <c r="F38" s="62">
        <v>15.9</v>
      </c>
      <c r="G38" s="62">
        <v>19.100000000000001</v>
      </c>
      <c r="H38" s="62">
        <v>19.3</v>
      </c>
      <c r="I38" s="62">
        <v>19.5</v>
      </c>
      <c r="J38" s="62">
        <v>19.7</v>
      </c>
      <c r="K38" s="62">
        <v>19.600000000000001</v>
      </c>
      <c r="L38" s="62">
        <v>17.600000000000001</v>
      </c>
      <c r="M38" s="62">
        <v>15</v>
      </c>
      <c r="N38" s="62">
        <v>65.2</v>
      </c>
      <c r="O38" s="62">
        <v>68.8</v>
      </c>
      <c r="P38" s="62">
        <v>68.599999999999994</v>
      </c>
      <c r="Q38" s="62">
        <v>68.400000000000006</v>
      </c>
      <c r="R38" s="62">
        <v>83</v>
      </c>
      <c r="S38" s="62">
        <v>37.9</v>
      </c>
      <c r="T38" s="62">
        <v>37.9</v>
      </c>
      <c r="U38" s="62">
        <v>37</v>
      </c>
      <c r="V38" s="67">
        <v>49</v>
      </c>
    </row>
    <row r="39" spans="1:22" ht="13.9" customHeight="1" x14ac:dyDescent="0.2">
      <c r="A39" s="43" t="s">
        <v>53</v>
      </c>
      <c r="B39" s="62">
        <v>0.4</v>
      </c>
      <c r="C39" s="13">
        <v>0</v>
      </c>
      <c r="D39" s="13">
        <v>0</v>
      </c>
      <c r="E39" s="13">
        <v>0.1</v>
      </c>
      <c r="F39" s="13">
        <v>0.2</v>
      </c>
      <c r="G39" s="13">
        <v>0.5</v>
      </c>
      <c r="H39" s="13">
        <v>0.3</v>
      </c>
      <c r="I39" s="13">
        <v>0.3</v>
      </c>
      <c r="J39" s="13">
        <v>0.4</v>
      </c>
      <c r="K39" s="13">
        <v>0.9</v>
      </c>
      <c r="L39" s="13">
        <v>0.8</v>
      </c>
      <c r="M39" s="13">
        <v>0.8</v>
      </c>
      <c r="N39" s="13">
        <v>0.9</v>
      </c>
      <c r="O39" s="13">
        <v>0.9</v>
      </c>
      <c r="P39" s="13">
        <v>0.8</v>
      </c>
      <c r="Q39" s="13">
        <v>1</v>
      </c>
      <c r="R39" s="13">
        <v>0.6</v>
      </c>
      <c r="S39" s="13">
        <v>0.6</v>
      </c>
      <c r="T39" s="13">
        <v>2.2000000000000002</v>
      </c>
      <c r="U39" s="13">
        <v>3.7</v>
      </c>
      <c r="V39" s="67">
        <v>0.3</v>
      </c>
    </row>
    <row r="40" spans="1:22" ht="13.9" customHeight="1" x14ac:dyDescent="0.2">
      <c r="A40" s="43" t="s">
        <v>35</v>
      </c>
      <c r="B40" s="62"/>
      <c r="C40" s="13"/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17.2</v>
      </c>
      <c r="M40" s="13">
        <v>10.7</v>
      </c>
      <c r="N40" s="13">
        <v>3.6</v>
      </c>
      <c r="O40" s="13">
        <v>4.2</v>
      </c>
      <c r="P40" s="13">
        <v>1.1000000000000001</v>
      </c>
      <c r="Q40" s="13">
        <v>0</v>
      </c>
      <c r="R40" s="13">
        <v>6.2</v>
      </c>
      <c r="S40" s="13">
        <v>0</v>
      </c>
      <c r="T40" s="13">
        <v>1.1000000000000001</v>
      </c>
      <c r="U40" s="13">
        <v>2.5</v>
      </c>
      <c r="V40" s="67">
        <v>0</v>
      </c>
    </row>
    <row r="41" spans="1:22" ht="13.9" customHeight="1" x14ac:dyDescent="0.2">
      <c r="A41" s="44" t="s">
        <v>54</v>
      </c>
      <c r="B41" s="63">
        <f>SUM(B37:B39)</f>
        <v>115.60000000000001</v>
      </c>
      <c r="C41" s="63">
        <f>SUM(C37:C39)</f>
        <v>107.1</v>
      </c>
      <c r="D41" s="63">
        <f t="shared" ref="D41:J41" si="7">SUM(D37:D40)</f>
        <v>103.5</v>
      </c>
      <c r="E41" s="63">
        <f t="shared" si="7"/>
        <v>66.899999999999991</v>
      </c>
      <c r="F41" s="63">
        <f t="shared" si="7"/>
        <v>58.5</v>
      </c>
      <c r="G41" s="63">
        <f t="shared" si="7"/>
        <v>68.5</v>
      </c>
      <c r="H41" s="63">
        <f t="shared" si="7"/>
        <v>64</v>
      </c>
      <c r="I41" s="63">
        <f t="shared" si="7"/>
        <v>106</v>
      </c>
      <c r="J41" s="63">
        <f t="shared" si="7"/>
        <v>109.00000000000001</v>
      </c>
      <c r="K41" s="63">
        <f>SUM(K37:K40)</f>
        <v>103.30000000000001</v>
      </c>
      <c r="L41" s="63">
        <v>132</v>
      </c>
      <c r="M41" s="63">
        <v>114.8</v>
      </c>
      <c r="N41" s="63">
        <f>SUM(N37:N40)</f>
        <v>160.10000000000002</v>
      </c>
      <c r="O41" s="63">
        <f>SUM(O37:O40)</f>
        <v>180.2</v>
      </c>
      <c r="P41" s="63">
        <f>SUM(P37:P40)</f>
        <v>194.79999999999998</v>
      </c>
      <c r="Q41" s="63">
        <v>213.8</v>
      </c>
      <c r="R41" s="63">
        <v>339.8</v>
      </c>
      <c r="S41" s="63">
        <f>SUM(S36:S40)</f>
        <v>338.1</v>
      </c>
      <c r="T41" s="63">
        <f>SUM(T36:T40)</f>
        <v>392.90000000000003</v>
      </c>
      <c r="U41" s="63">
        <v>383.5</v>
      </c>
      <c r="V41" s="64">
        <f>SUM(V36:V40)</f>
        <v>354</v>
      </c>
    </row>
    <row r="42" spans="1:22" ht="13.9" customHeight="1" x14ac:dyDescent="0.2">
      <c r="A42" s="46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9"/>
    </row>
    <row r="43" spans="1:22" ht="13.9" customHeight="1" x14ac:dyDescent="0.2">
      <c r="A43" s="44" t="s">
        <v>55</v>
      </c>
      <c r="B43" s="63">
        <f>B41+B34</f>
        <v>322.2</v>
      </c>
      <c r="C43" s="63">
        <f>C41+C34</f>
        <v>374.70000000000005</v>
      </c>
      <c r="D43" s="63">
        <f>D41+D34</f>
        <v>374.59999999999997</v>
      </c>
      <c r="E43" s="63">
        <v>321</v>
      </c>
      <c r="F43" s="63">
        <f t="shared" ref="F43:M43" si="8">F41+F34</f>
        <v>308.89999999999998</v>
      </c>
      <c r="G43" s="63">
        <f t="shared" si="8"/>
        <v>319.89999999999998</v>
      </c>
      <c r="H43" s="63">
        <f t="shared" si="8"/>
        <v>310.7</v>
      </c>
      <c r="I43" s="63">
        <f t="shared" si="8"/>
        <v>349.7</v>
      </c>
      <c r="J43" s="63">
        <f t="shared" si="8"/>
        <v>348.40000000000003</v>
      </c>
      <c r="K43" s="63">
        <f t="shared" si="8"/>
        <v>388.3</v>
      </c>
      <c r="L43" s="63">
        <f t="shared" si="8"/>
        <v>426.3</v>
      </c>
      <c r="M43" s="63">
        <f t="shared" si="8"/>
        <v>450.3</v>
      </c>
      <c r="N43" s="63">
        <f>N41+N34</f>
        <v>531.60000000000014</v>
      </c>
      <c r="O43" s="63">
        <f>O41+O34</f>
        <v>600.40000000000009</v>
      </c>
      <c r="P43" s="63">
        <f>P41+P34</f>
        <v>638.70000000000005</v>
      </c>
      <c r="Q43" s="63">
        <v>753.5</v>
      </c>
      <c r="R43" s="63">
        <v>965.09999999999991</v>
      </c>
      <c r="S43" s="63">
        <f>S41+S34</f>
        <v>1042.8</v>
      </c>
      <c r="T43" s="63">
        <f>T41+T34</f>
        <v>1069.7</v>
      </c>
      <c r="U43" s="63">
        <v>1218.9000000000001</v>
      </c>
      <c r="V43" s="64">
        <f>V41+V34</f>
        <v>1114.0999999999999</v>
      </c>
    </row>
    <row r="44" spans="1:22" ht="13.9" customHeight="1" x14ac:dyDescent="0.2">
      <c r="A44" s="46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ht="13.9" customHeight="1" x14ac:dyDescent="0.2">
      <c r="A45" s="44" t="s">
        <v>56</v>
      </c>
      <c r="B45" s="63">
        <f>B43+B25</f>
        <v>599.09999999999991</v>
      </c>
      <c r="C45" s="63">
        <f>C43+C25</f>
        <v>737.80000000000007</v>
      </c>
      <c r="D45" s="63">
        <f>D43+D25</f>
        <v>835.5</v>
      </c>
      <c r="E45" s="63">
        <v>776.3</v>
      </c>
      <c r="F45" s="63">
        <f t="shared" ref="F45:M45" si="9">F43+F25</f>
        <v>757.3</v>
      </c>
      <c r="G45" s="63">
        <f t="shared" si="9"/>
        <v>763.09999999999991</v>
      </c>
      <c r="H45" s="63">
        <f t="shared" si="9"/>
        <v>835.5</v>
      </c>
      <c r="I45" s="63">
        <f t="shared" si="9"/>
        <v>890</v>
      </c>
      <c r="J45" s="63">
        <f t="shared" si="9"/>
        <v>878.60000000000014</v>
      </c>
      <c r="K45" s="63">
        <f t="shared" si="9"/>
        <v>957.5</v>
      </c>
      <c r="L45" s="63">
        <f t="shared" si="9"/>
        <v>1031.4000000000001</v>
      </c>
      <c r="M45" s="63">
        <f t="shared" si="9"/>
        <v>1039.2</v>
      </c>
      <c r="N45" s="63">
        <f>N43+N25</f>
        <v>1154.6000000000001</v>
      </c>
      <c r="O45" s="63">
        <f>O43+O25</f>
        <v>1215.7</v>
      </c>
      <c r="P45" s="63">
        <f>P43+P25</f>
        <v>1249.3000000000002</v>
      </c>
      <c r="Q45" s="63">
        <v>1369.7</v>
      </c>
      <c r="R45" s="63">
        <v>1582.1999999999998</v>
      </c>
      <c r="S45" s="63">
        <f>S43+S25</f>
        <v>1740.4</v>
      </c>
      <c r="T45" s="63">
        <f>T43+T25</f>
        <v>1814.6</v>
      </c>
      <c r="U45" s="63">
        <v>1978.7</v>
      </c>
      <c r="V45" s="64">
        <f>V43+V25</f>
        <v>1919.5</v>
      </c>
    </row>
    <row r="46" spans="1:22" ht="13.9" customHeight="1" x14ac:dyDescent="0.2">
      <c r="A46" s="99" t="s">
        <v>94</v>
      </c>
    </row>
    <row r="47" spans="1:22" ht="13.9" customHeight="1" x14ac:dyDescent="0.2">
      <c r="R47" s="108"/>
      <c r="S47" s="108"/>
      <c r="T47" s="108"/>
      <c r="U47" s="108"/>
      <c r="V47" s="108"/>
    </row>
  </sheetData>
  <sheetProtection algorithmName="SHA-512" hashValue="agOlsgY98EsFYprh55ZlLDITVkXpoA72FJbH4jACG4s29j3Y+Ntr8nQ104KfIJQ/Cfo7LwevcUFlxYXhTRvIFw==" saltValue="7PlOo6d7s6AusmSuc2o5rg==" spinCount="100000" sheet="1" objects="1" scenarios="1"/>
  <phoneticPr fontId="9" type="noConversion"/>
  <pageMargins left="0.7" right="0.7" top="0.75" bottom="0.7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C37"/>
  <sheetViews>
    <sheetView showGridLines="0" zoomScale="80" zoomScaleNormal="80" zoomScalePageLayoutView="115" workbookViewId="0">
      <pane xSplit="1" ySplit="2" topLeftCell="J3" activePane="bottomRight" state="frozen"/>
      <selection pane="topRight" activeCell="A6" sqref="A6"/>
      <selection pane="bottomLeft" activeCell="A6" sqref="A6"/>
      <selection pane="bottomRight" activeCell="A7" sqref="A7"/>
    </sheetView>
  </sheetViews>
  <sheetFormatPr defaultColWidth="8.7109375" defaultRowHeight="13.9" customHeight="1" x14ac:dyDescent="0.25"/>
  <cols>
    <col min="1" max="1" width="78.7109375" style="19" bestFit="1" customWidth="1"/>
    <col min="2" max="9" width="11" style="19" hidden="1" customWidth="1"/>
    <col min="10" max="13" width="11" style="19" customWidth="1"/>
    <col min="14" max="28" width="8.7109375" style="19"/>
    <col min="29" max="29" width="10.7109375" style="19" customWidth="1"/>
    <col min="30" max="235" width="8.7109375" style="19"/>
    <col min="236" max="236" width="38.28515625" style="19" customWidth="1"/>
    <col min="237" max="237" width="9.7109375" style="19" customWidth="1"/>
    <col min="238" max="240" width="8.28515625" style="19" customWidth="1"/>
    <col min="241" max="241" width="7.42578125" style="19" customWidth="1"/>
    <col min="242" max="242" width="8.7109375" style="19" customWidth="1"/>
    <col min="243" max="491" width="8.7109375" style="19"/>
    <col min="492" max="492" width="38.28515625" style="19" customWidth="1"/>
    <col min="493" max="493" width="9.7109375" style="19" customWidth="1"/>
    <col min="494" max="496" width="8.28515625" style="19" customWidth="1"/>
    <col min="497" max="497" width="7.42578125" style="19" customWidth="1"/>
    <col min="498" max="498" width="8.7109375" style="19" customWidth="1"/>
    <col min="499" max="747" width="8.7109375" style="19"/>
    <col min="748" max="748" width="38.28515625" style="19" customWidth="1"/>
    <col min="749" max="749" width="9.7109375" style="19" customWidth="1"/>
    <col min="750" max="752" width="8.28515625" style="19" customWidth="1"/>
    <col min="753" max="753" width="7.42578125" style="19" customWidth="1"/>
    <col min="754" max="754" width="8.7109375" style="19" customWidth="1"/>
    <col min="755" max="1003" width="8.7109375" style="19"/>
    <col min="1004" max="1004" width="38.28515625" style="19" customWidth="1"/>
    <col min="1005" max="1005" width="9.7109375" style="19" customWidth="1"/>
    <col min="1006" max="1008" width="8.28515625" style="19" customWidth="1"/>
    <col min="1009" max="1009" width="7.42578125" style="19" customWidth="1"/>
    <col min="1010" max="1010" width="8.7109375" style="19" customWidth="1"/>
    <col min="1011" max="1259" width="8.7109375" style="19"/>
    <col min="1260" max="1260" width="38.28515625" style="19" customWidth="1"/>
    <col min="1261" max="1261" width="9.7109375" style="19" customWidth="1"/>
    <col min="1262" max="1264" width="8.28515625" style="19" customWidth="1"/>
    <col min="1265" max="1265" width="7.42578125" style="19" customWidth="1"/>
    <col min="1266" max="1266" width="8.7109375" style="19" customWidth="1"/>
    <col min="1267" max="1515" width="8.7109375" style="19"/>
    <col min="1516" max="1516" width="38.28515625" style="19" customWidth="1"/>
    <col min="1517" max="1517" width="9.7109375" style="19" customWidth="1"/>
    <col min="1518" max="1520" width="8.28515625" style="19" customWidth="1"/>
    <col min="1521" max="1521" width="7.42578125" style="19" customWidth="1"/>
    <col min="1522" max="1522" width="8.7109375" style="19" customWidth="1"/>
    <col min="1523" max="1771" width="8.7109375" style="19"/>
    <col min="1772" max="1772" width="38.28515625" style="19" customWidth="1"/>
    <col min="1773" max="1773" width="9.7109375" style="19" customWidth="1"/>
    <col min="1774" max="1776" width="8.28515625" style="19" customWidth="1"/>
    <col min="1777" max="1777" width="7.42578125" style="19" customWidth="1"/>
    <col min="1778" max="1778" width="8.7109375" style="19" customWidth="1"/>
    <col min="1779" max="2027" width="8.7109375" style="19"/>
    <col min="2028" max="2028" width="38.28515625" style="19" customWidth="1"/>
    <col min="2029" max="2029" width="9.7109375" style="19" customWidth="1"/>
    <col min="2030" max="2032" width="8.28515625" style="19" customWidth="1"/>
    <col min="2033" max="2033" width="7.42578125" style="19" customWidth="1"/>
    <col min="2034" max="2034" width="8.7109375" style="19" customWidth="1"/>
    <col min="2035" max="2283" width="8.7109375" style="19"/>
    <col min="2284" max="2284" width="38.28515625" style="19" customWidth="1"/>
    <col min="2285" max="2285" width="9.7109375" style="19" customWidth="1"/>
    <col min="2286" max="2288" width="8.28515625" style="19" customWidth="1"/>
    <col min="2289" max="2289" width="7.42578125" style="19" customWidth="1"/>
    <col min="2290" max="2290" width="8.7109375" style="19" customWidth="1"/>
    <col min="2291" max="2539" width="8.7109375" style="19"/>
    <col min="2540" max="2540" width="38.28515625" style="19" customWidth="1"/>
    <col min="2541" max="2541" width="9.7109375" style="19" customWidth="1"/>
    <col min="2542" max="2544" width="8.28515625" style="19" customWidth="1"/>
    <col min="2545" max="2545" width="7.42578125" style="19" customWidth="1"/>
    <col min="2546" max="2546" width="8.7109375" style="19" customWidth="1"/>
    <col min="2547" max="2795" width="8.7109375" style="19"/>
    <col min="2796" max="2796" width="38.28515625" style="19" customWidth="1"/>
    <col min="2797" max="2797" width="9.7109375" style="19" customWidth="1"/>
    <col min="2798" max="2800" width="8.28515625" style="19" customWidth="1"/>
    <col min="2801" max="2801" width="7.42578125" style="19" customWidth="1"/>
    <col min="2802" max="2802" width="8.7109375" style="19" customWidth="1"/>
    <col min="2803" max="3051" width="8.7109375" style="19"/>
    <col min="3052" max="3052" width="38.28515625" style="19" customWidth="1"/>
    <col min="3053" max="3053" width="9.7109375" style="19" customWidth="1"/>
    <col min="3054" max="3056" width="8.28515625" style="19" customWidth="1"/>
    <col min="3057" max="3057" width="7.42578125" style="19" customWidth="1"/>
    <col min="3058" max="3058" width="8.7109375" style="19" customWidth="1"/>
    <col min="3059" max="3307" width="8.7109375" style="19"/>
    <col min="3308" max="3308" width="38.28515625" style="19" customWidth="1"/>
    <col min="3309" max="3309" width="9.7109375" style="19" customWidth="1"/>
    <col min="3310" max="3312" width="8.28515625" style="19" customWidth="1"/>
    <col min="3313" max="3313" width="7.42578125" style="19" customWidth="1"/>
    <col min="3314" max="3314" width="8.7109375" style="19" customWidth="1"/>
    <col min="3315" max="3563" width="8.7109375" style="19"/>
    <col min="3564" max="3564" width="38.28515625" style="19" customWidth="1"/>
    <col min="3565" max="3565" width="9.7109375" style="19" customWidth="1"/>
    <col min="3566" max="3568" width="8.28515625" style="19" customWidth="1"/>
    <col min="3569" max="3569" width="7.42578125" style="19" customWidth="1"/>
    <col min="3570" max="3570" width="8.7109375" style="19" customWidth="1"/>
    <col min="3571" max="3819" width="8.7109375" style="19"/>
    <col min="3820" max="3820" width="38.28515625" style="19" customWidth="1"/>
    <col min="3821" max="3821" width="9.7109375" style="19" customWidth="1"/>
    <col min="3822" max="3824" width="8.28515625" style="19" customWidth="1"/>
    <col min="3825" max="3825" width="7.42578125" style="19" customWidth="1"/>
    <col min="3826" max="3826" width="8.7109375" style="19" customWidth="1"/>
    <col min="3827" max="4075" width="8.7109375" style="19"/>
    <col min="4076" max="4076" width="38.28515625" style="19" customWidth="1"/>
    <col min="4077" max="4077" width="9.7109375" style="19" customWidth="1"/>
    <col min="4078" max="4080" width="8.28515625" style="19" customWidth="1"/>
    <col min="4081" max="4081" width="7.42578125" style="19" customWidth="1"/>
    <col min="4082" max="4082" width="8.7109375" style="19" customWidth="1"/>
    <col min="4083" max="4331" width="8.7109375" style="19"/>
    <col min="4332" max="4332" width="38.28515625" style="19" customWidth="1"/>
    <col min="4333" max="4333" width="9.7109375" style="19" customWidth="1"/>
    <col min="4334" max="4336" width="8.28515625" style="19" customWidth="1"/>
    <col min="4337" max="4337" width="7.42578125" style="19" customWidth="1"/>
    <col min="4338" max="4338" width="8.7109375" style="19" customWidth="1"/>
    <col min="4339" max="4587" width="8.7109375" style="19"/>
    <col min="4588" max="4588" width="38.28515625" style="19" customWidth="1"/>
    <col min="4589" max="4589" width="9.7109375" style="19" customWidth="1"/>
    <col min="4590" max="4592" width="8.28515625" style="19" customWidth="1"/>
    <col min="4593" max="4593" width="7.42578125" style="19" customWidth="1"/>
    <col min="4594" max="4594" width="8.7109375" style="19" customWidth="1"/>
    <col min="4595" max="4843" width="8.7109375" style="19"/>
    <col min="4844" max="4844" width="38.28515625" style="19" customWidth="1"/>
    <col min="4845" max="4845" width="9.7109375" style="19" customWidth="1"/>
    <col min="4846" max="4848" width="8.28515625" style="19" customWidth="1"/>
    <col min="4849" max="4849" width="7.42578125" style="19" customWidth="1"/>
    <col min="4850" max="4850" width="8.7109375" style="19" customWidth="1"/>
    <col min="4851" max="5099" width="8.7109375" style="19"/>
    <col min="5100" max="5100" width="38.28515625" style="19" customWidth="1"/>
    <col min="5101" max="5101" width="9.7109375" style="19" customWidth="1"/>
    <col min="5102" max="5104" width="8.28515625" style="19" customWidth="1"/>
    <col min="5105" max="5105" width="7.42578125" style="19" customWidth="1"/>
    <col min="5106" max="5106" width="8.7109375" style="19" customWidth="1"/>
    <col min="5107" max="5355" width="8.7109375" style="19"/>
    <col min="5356" max="5356" width="38.28515625" style="19" customWidth="1"/>
    <col min="5357" max="5357" width="9.7109375" style="19" customWidth="1"/>
    <col min="5358" max="5360" width="8.28515625" style="19" customWidth="1"/>
    <col min="5361" max="5361" width="7.42578125" style="19" customWidth="1"/>
    <col min="5362" max="5362" width="8.7109375" style="19" customWidth="1"/>
    <col min="5363" max="5611" width="8.7109375" style="19"/>
    <col min="5612" max="5612" width="38.28515625" style="19" customWidth="1"/>
    <col min="5613" max="5613" width="9.7109375" style="19" customWidth="1"/>
    <col min="5614" max="5616" width="8.28515625" style="19" customWidth="1"/>
    <col min="5617" max="5617" width="7.42578125" style="19" customWidth="1"/>
    <col min="5618" max="5618" width="8.7109375" style="19" customWidth="1"/>
    <col min="5619" max="5867" width="8.7109375" style="19"/>
    <col min="5868" max="5868" width="38.28515625" style="19" customWidth="1"/>
    <col min="5869" max="5869" width="9.7109375" style="19" customWidth="1"/>
    <col min="5870" max="5872" width="8.28515625" style="19" customWidth="1"/>
    <col min="5873" max="5873" width="7.42578125" style="19" customWidth="1"/>
    <col min="5874" max="5874" width="8.7109375" style="19" customWidth="1"/>
    <col min="5875" max="6123" width="8.7109375" style="19"/>
    <col min="6124" max="6124" width="38.28515625" style="19" customWidth="1"/>
    <col min="6125" max="6125" width="9.7109375" style="19" customWidth="1"/>
    <col min="6126" max="6128" width="8.28515625" style="19" customWidth="1"/>
    <col min="6129" max="6129" width="7.42578125" style="19" customWidth="1"/>
    <col min="6130" max="6130" width="8.7109375" style="19" customWidth="1"/>
    <col min="6131" max="6379" width="8.7109375" style="19"/>
    <col min="6380" max="6380" width="38.28515625" style="19" customWidth="1"/>
    <col min="6381" max="6381" width="9.7109375" style="19" customWidth="1"/>
    <col min="6382" max="6384" width="8.28515625" style="19" customWidth="1"/>
    <col min="6385" max="6385" width="7.42578125" style="19" customWidth="1"/>
    <col min="6386" max="6386" width="8.7109375" style="19" customWidth="1"/>
    <col min="6387" max="6635" width="8.7109375" style="19"/>
    <col min="6636" max="6636" width="38.28515625" style="19" customWidth="1"/>
    <col min="6637" max="6637" width="9.7109375" style="19" customWidth="1"/>
    <col min="6638" max="6640" width="8.28515625" style="19" customWidth="1"/>
    <col min="6641" max="6641" width="7.42578125" style="19" customWidth="1"/>
    <col min="6642" max="6642" width="8.7109375" style="19" customWidth="1"/>
    <col min="6643" max="6891" width="8.7109375" style="19"/>
    <col min="6892" max="6892" width="38.28515625" style="19" customWidth="1"/>
    <col min="6893" max="6893" width="9.7109375" style="19" customWidth="1"/>
    <col min="6894" max="6896" width="8.28515625" style="19" customWidth="1"/>
    <col min="6897" max="6897" width="7.42578125" style="19" customWidth="1"/>
    <col min="6898" max="6898" width="8.7109375" style="19" customWidth="1"/>
    <col min="6899" max="7147" width="8.7109375" style="19"/>
    <col min="7148" max="7148" width="38.28515625" style="19" customWidth="1"/>
    <col min="7149" max="7149" width="9.7109375" style="19" customWidth="1"/>
    <col min="7150" max="7152" width="8.28515625" style="19" customWidth="1"/>
    <col min="7153" max="7153" width="7.42578125" style="19" customWidth="1"/>
    <col min="7154" max="7154" width="8.7109375" style="19" customWidth="1"/>
    <col min="7155" max="7403" width="8.7109375" style="19"/>
    <col min="7404" max="7404" width="38.28515625" style="19" customWidth="1"/>
    <col min="7405" max="7405" width="9.7109375" style="19" customWidth="1"/>
    <col min="7406" max="7408" width="8.28515625" style="19" customWidth="1"/>
    <col min="7409" max="7409" width="7.42578125" style="19" customWidth="1"/>
    <col min="7410" max="7410" width="8.7109375" style="19" customWidth="1"/>
    <col min="7411" max="7659" width="8.7109375" style="19"/>
    <col min="7660" max="7660" width="38.28515625" style="19" customWidth="1"/>
    <col min="7661" max="7661" width="9.7109375" style="19" customWidth="1"/>
    <col min="7662" max="7664" width="8.28515625" style="19" customWidth="1"/>
    <col min="7665" max="7665" width="7.42578125" style="19" customWidth="1"/>
    <col min="7666" max="7666" width="8.7109375" style="19" customWidth="1"/>
    <col min="7667" max="7915" width="8.7109375" style="19"/>
    <col min="7916" max="7916" width="38.28515625" style="19" customWidth="1"/>
    <col min="7917" max="7917" width="9.7109375" style="19" customWidth="1"/>
    <col min="7918" max="7920" width="8.28515625" style="19" customWidth="1"/>
    <col min="7921" max="7921" width="7.42578125" style="19" customWidth="1"/>
    <col min="7922" max="7922" width="8.7109375" style="19" customWidth="1"/>
    <col min="7923" max="8171" width="8.7109375" style="19"/>
    <col min="8172" max="8172" width="38.28515625" style="19" customWidth="1"/>
    <col min="8173" max="8173" width="9.7109375" style="19" customWidth="1"/>
    <col min="8174" max="8176" width="8.28515625" style="19" customWidth="1"/>
    <col min="8177" max="8177" width="7.42578125" style="19" customWidth="1"/>
    <col min="8178" max="8178" width="8.7109375" style="19" customWidth="1"/>
    <col min="8179" max="8427" width="8.7109375" style="19"/>
    <col min="8428" max="8428" width="38.28515625" style="19" customWidth="1"/>
    <col min="8429" max="8429" width="9.7109375" style="19" customWidth="1"/>
    <col min="8430" max="8432" width="8.28515625" style="19" customWidth="1"/>
    <col min="8433" max="8433" width="7.42578125" style="19" customWidth="1"/>
    <col min="8434" max="8434" width="8.7109375" style="19" customWidth="1"/>
    <col min="8435" max="8683" width="8.7109375" style="19"/>
    <col min="8684" max="8684" width="38.28515625" style="19" customWidth="1"/>
    <col min="8685" max="8685" width="9.7109375" style="19" customWidth="1"/>
    <col min="8686" max="8688" width="8.28515625" style="19" customWidth="1"/>
    <col min="8689" max="8689" width="7.42578125" style="19" customWidth="1"/>
    <col min="8690" max="8690" width="8.7109375" style="19" customWidth="1"/>
    <col min="8691" max="8939" width="8.7109375" style="19"/>
    <col min="8940" max="8940" width="38.28515625" style="19" customWidth="1"/>
    <col min="8941" max="8941" width="9.7109375" style="19" customWidth="1"/>
    <col min="8942" max="8944" width="8.28515625" style="19" customWidth="1"/>
    <col min="8945" max="8945" width="7.42578125" style="19" customWidth="1"/>
    <col min="8946" max="8946" width="8.7109375" style="19" customWidth="1"/>
    <col min="8947" max="9195" width="8.7109375" style="19"/>
    <col min="9196" max="9196" width="38.28515625" style="19" customWidth="1"/>
    <col min="9197" max="9197" width="9.7109375" style="19" customWidth="1"/>
    <col min="9198" max="9200" width="8.28515625" style="19" customWidth="1"/>
    <col min="9201" max="9201" width="7.42578125" style="19" customWidth="1"/>
    <col min="9202" max="9202" width="8.7109375" style="19" customWidth="1"/>
    <col min="9203" max="9451" width="8.7109375" style="19"/>
    <col min="9452" max="9452" width="38.28515625" style="19" customWidth="1"/>
    <col min="9453" max="9453" width="9.7109375" style="19" customWidth="1"/>
    <col min="9454" max="9456" width="8.28515625" style="19" customWidth="1"/>
    <col min="9457" max="9457" width="7.42578125" style="19" customWidth="1"/>
    <col min="9458" max="9458" width="8.7109375" style="19" customWidth="1"/>
    <col min="9459" max="9707" width="8.7109375" style="19"/>
    <col min="9708" max="9708" width="38.28515625" style="19" customWidth="1"/>
    <col min="9709" max="9709" width="9.7109375" style="19" customWidth="1"/>
    <col min="9710" max="9712" width="8.28515625" style="19" customWidth="1"/>
    <col min="9713" max="9713" width="7.42578125" style="19" customWidth="1"/>
    <col min="9714" max="9714" width="8.7109375" style="19" customWidth="1"/>
    <col min="9715" max="9963" width="8.7109375" style="19"/>
    <col min="9964" max="9964" width="38.28515625" style="19" customWidth="1"/>
    <col min="9965" max="9965" width="9.7109375" style="19" customWidth="1"/>
    <col min="9966" max="9968" width="8.28515625" style="19" customWidth="1"/>
    <col min="9969" max="9969" width="7.42578125" style="19" customWidth="1"/>
    <col min="9970" max="9970" width="8.7109375" style="19" customWidth="1"/>
    <col min="9971" max="10219" width="8.7109375" style="19"/>
    <col min="10220" max="10220" width="38.28515625" style="19" customWidth="1"/>
    <col min="10221" max="10221" width="9.7109375" style="19" customWidth="1"/>
    <col min="10222" max="10224" width="8.28515625" style="19" customWidth="1"/>
    <col min="10225" max="10225" width="7.42578125" style="19" customWidth="1"/>
    <col min="10226" max="10226" width="8.7109375" style="19" customWidth="1"/>
    <col min="10227" max="10475" width="8.7109375" style="19"/>
    <col min="10476" max="10476" width="38.28515625" style="19" customWidth="1"/>
    <col min="10477" max="10477" width="9.7109375" style="19" customWidth="1"/>
    <col min="10478" max="10480" width="8.28515625" style="19" customWidth="1"/>
    <col min="10481" max="10481" width="7.42578125" style="19" customWidth="1"/>
    <col min="10482" max="10482" width="8.7109375" style="19" customWidth="1"/>
    <col min="10483" max="10731" width="8.7109375" style="19"/>
    <col min="10732" max="10732" width="38.28515625" style="19" customWidth="1"/>
    <col min="10733" max="10733" width="9.7109375" style="19" customWidth="1"/>
    <col min="10734" max="10736" width="8.28515625" style="19" customWidth="1"/>
    <col min="10737" max="10737" width="7.42578125" style="19" customWidth="1"/>
    <col min="10738" max="10738" width="8.7109375" style="19" customWidth="1"/>
    <col min="10739" max="10987" width="8.7109375" style="19"/>
    <col min="10988" max="10988" width="38.28515625" style="19" customWidth="1"/>
    <col min="10989" max="10989" width="9.7109375" style="19" customWidth="1"/>
    <col min="10990" max="10992" width="8.28515625" style="19" customWidth="1"/>
    <col min="10993" max="10993" width="7.42578125" style="19" customWidth="1"/>
    <col min="10994" max="10994" width="8.7109375" style="19" customWidth="1"/>
    <col min="10995" max="11243" width="8.7109375" style="19"/>
    <col min="11244" max="11244" width="38.28515625" style="19" customWidth="1"/>
    <col min="11245" max="11245" width="9.7109375" style="19" customWidth="1"/>
    <col min="11246" max="11248" width="8.28515625" style="19" customWidth="1"/>
    <col min="11249" max="11249" width="7.42578125" style="19" customWidth="1"/>
    <col min="11250" max="11250" width="8.7109375" style="19" customWidth="1"/>
    <col min="11251" max="11499" width="8.7109375" style="19"/>
    <col min="11500" max="11500" width="38.28515625" style="19" customWidth="1"/>
    <col min="11501" max="11501" width="9.7109375" style="19" customWidth="1"/>
    <col min="11502" max="11504" width="8.28515625" style="19" customWidth="1"/>
    <col min="11505" max="11505" width="7.42578125" style="19" customWidth="1"/>
    <col min="11506" max="11506" width="8.7109375" style="19" customWidth="1"/>
    <col min="11507" max="11755" width="8.7109375" style="19"/>
    <col min="11756" max="11756" width="38.28515625" style="19" customWidth="1"/>
    <col min="11757" max="11757" width="9.7109375" style="19" customWidth="1"/>
    <col min="11758" max="11760" width="8.28515625" style="19" customWidth="1"/>
    <col min="11761" max="11761" width="7.42578125" style="19" customWidth="1"/>
    <col min="11762" max="11762" width="8.7109375" style="19" customWidth="1"/>
    <col min="11763" max="12011" width="8.7109375" style="19"/>
    <col min="12012" max="12012" width="38.28515625" style="19" customWidth="1"/>
    <col min="12013" max="12013" width="9.7109375" style="19" customWidth="1"/>
    <col min="12014" max="12016" width="8.28515625" style="19" customWidth="1"/>
    <col min="12017" max="12017" width="7.42578125" style="19" customWidth="1"/>
    <col min="12018" max="12018" width="8.7109375" style="19" customWidth="1"/>
    <col min="12019" max="12267" width="8.7109375" style="19"/>
    <col min="12268" max="12268" width="38.28515625" style="19" customWidth="1"/>
    <col min="12269" max="12269" width="9.7109375" style="19" customWidth="1"/>
    <col min="12270" max="12272" width="8.28515625" style="19" customWidth="1"/>
    <col min="12273" max="12273" width="7.42578125" style="19" customWidth="1"/>
    <col min="12274" max="12274" width="8.7109375" style="19" customWidth="1"/>
    <col min="12275" max="12523" width="8.7109375" style="19"/>
    <col min="12524" max="12524" width="38.28515625" style="19" customWidth="1"/>
    <col min="12525" max="12525" width="9.7109375" style="19" customWidth="1"/>
    <col min="12526" max="12528" width="8.28515625" style="19" customWidth="1"/>
    <col min="12529" max="12529" width="7.42578125" style="19" customWidth="1"/>
    <col min="12530" max="12530" width="8.7109375" style="19" customWidth="1"/>
    <col min="12531" max="12779" width="8.7109375" style="19"/>
    <col min="12780" max="12780" width="38.28515625" style="19" customWidth="1"/>
    <col min="12781" max="12781" width="9.7109375" style="19" customWidth="1"/>
    <col min="12782" max="12784" width="8.28515625" style="19" customWidth="1"/>
    <col min="12785" max="12785" width="7.42578125" style="19" customWidth="1"/>
    <col min="12786" max="12786" width="8.7109375" style="19" customWidth="1"/>
    <col min="12787" max="13035" width="8.7109375" style="19"/>
    <col min="13036" max="13036" width="38.28515625" style="19" customWidth="1"/>
    <col min="13037" max="13037" width="9.7109375" style="19" customWidth="1"/>
    <col min="13038" max="13040" width="8.28515625" style="19" customWidth="1"/>
    <col min="13041" max="13041" width="7.42578125" style="19" customWidth="1"/>
    <col min="13042" max="13042" width="8.7109375" style="19" customWidth="1"/>
    <col min="13043" max="13291" width="8.7109375" style="19"/>
    <col min="13292" max="13292" width="38.28515625" style="19" customWidth="1"/>
    <col min="13293" max="13293" width="9.7109375" style="19" customWidth="1"/>
    <col min="13294" max="13296" width="8.28515625" style="19" customWidth="1"/>
    <col min="13297" max="13297" width="7.42578125" style="19" customWidth="1"/>
    <col min="13298" max="13298" width="8.7109375" style="19" customWidth="1"/>
    <col min="13299" max="13547" width="8.7109375" style="19"/>
    <col min="13548" max="13548" width="38.28515625" style="19" customWidth="1"/>
    <col min="13549" max="13549" width="9.7109375" style="19" customWidth="1"/>
    <col min="13550" max="13552" width="8.28515625" style="19" customWidth="1"/>
    <col min="13553" max="13553" width="7.42578125" style="19" customWidth="1"/>
    <col min="13554" max="13554" width="8.7109375" style="19" customWidth="1"/>
    <col min="13555" max="13803" width="8.7109375" style="19"/>
    <col min="13804" max="13804" width="38.28515625" style="19" customWidth="1"/>
    <col min="13805" max="13805" width="9.7109375" style="19" customWidth="1"/>
    <col min="13806" max="13808" width="8.28515625" style="19" customWidth="1"/>
    <col min="13809" max="13809" width="7.42578125" style="19" customWidth="1"/>
    <col min="13810" max="13810" width="8.7109375" style="19" customWidth="1"/>
    <col min="13811" max="14059" width="8.7109375" style="19"/>
    <col min="14060" max="14060" width="38.28515625" style="19" customWidth="1"/>
    <col min="14061" max="14061" width="9.7109375" style="19" customWidth="1"/>
    <col min="14062" max="14064" width="8.28515625" style="19" customWidth="1"/>
    <col min="14065" max="14065" width="7.42578125" style="19" customWidth="1"/>
    <col min="14066" max="14066" width="8.7109375" style="19" customWidth="1"/>
    <col min="14067" max="14315" width="8.7109375" style="19"/>
    <col min="14316" max="14316" width="38.28515625" style="19" customWidth="1"/>
    <col min="14317" max="14317" width="9.7109375" style="19" customWidth="1"/>
    <col min="14318" max="14320" width="8.28515625" style="19" customWidth="1"/>
    <col min="14321" max="14321" width="7.42578125" style="19" customWidth="1"/>
    <col min="14322" max="14322" width="8.7109375" style="19" customWidth="1"/>
    <col min="14323" max="14571" width="8.7109375" style="19"/>
    <col min="14572" max="14572" width="38.28515625" style="19" customWidth="1"/>
    <col min="14573" max="14573" width="9.7109375" style="19" customWidth="1"/>
    <col min="14574" max="14576" width="8.28515625" style="19" customWidth="1"/>
    <col min="14577" max="14577" width="7.42578125" style="19" customWidth="1"/>
    <col min="14578" max="14578" width="8.7109375" style="19" customWidth="1"/>
    <col min="14579" max="14827" width="8.7109375" style="19"/>
    <col min="14828" max="14828" width="38.28515625" style="19" customWidth="1"/>
    <col min="14829" max="14829" width="9.7109375" style="19" customWidth="1"/>
    <col min="14830" max="14832" width="8.28515625" style="19" customWidth="1"/>
    <col min="14833" max="14833" width="7.42578125" style="19" customWidth="1"/>
    <col min="14834" max="14834" width="8.7109375" style="19" customWidth="1"/>
    <col min="14835" max="15083" width="8.7109375" style="19"/>
    <col min="15084" max="15084" width="38.28515625" style="19" customWidth="1"/>
    <col min="15085" max="15085" width="9.7109375" style="19" customWidth="1"/>
    <col min="15086" max="15088" width="8.28515625" style="19" customWidth="1"/>
    <col min="15089" max="15089" width="7.42578125" style="19" customWidth="1"/>
    <col min="15090" max="15090" width="8.7109375" style="19" customWidth="1"/>
    <col min="15091" max="15339" width="8.7109375" style="19"/>
    <col min="15340" max="15340" width="38.28515625" style="19" customWidth="1"/>
    <col min="15341" max="15341" width="9.7109375" style="19" customWidth="1"/>
    <col min="15342" max="15344" width="8.28515625" style="19" customWidth="1"/>
    <col min="15345" max="15345" width="7.42578125" style="19" customWidth="1"/>
    <col min="15346" max="15346" width="8.7109375" style="19" customWidth="1"/>
    <col min="15347" max="15595" width="8.7109375" style="19"/>
    <col min="15596" max="15596" width="38.28515625" style="19" customWidth="1"/>
    <col min="15597" max="15597" width="9.7109375" style="19" customWidth="1"/>
    <col min="15598" max="15600" width="8.28515625" style="19" customWidth="1"/>
    <col min="15601" max="15601" width="7.42578125" style="19" customWidth="1"/>
    <col min="15602" max="15602" width="8.7109375" style="19" customWidth="1"/>
    <col min="15603" max="15851" width="8.7109375" style="19"/>
    <col min="15852" max="15852" width="38.28515625" style="19" customWidth="1"/>
    <col min="15853" max="15853" width="9.7109375" style="19" customWidth="1"/>
    <col min="15854" max="15856" width="8.28515625" style="19" customWidth="1"/>
    <col min="15857" max="15857" width="7.42578125" style="19" customWidth="1"/>
    <col min="15858" max="15858" width="8.7109375" style="19" customWidth="1"/>
    <col min="15859" max="16107" width="8.7109375" style="19"/>
    <col min="16108" max="16108" width="38.28515625" style="19" customWidth="1"/>
    <col min="16109" max="16109" width="9.7109375" style="19" customWidth="1"/>
    <col min="16110" max="16112" width="8.28515625" style="19" customWidth="1"/>
    <col min="16113" max="16113" width="7.42578125" style="19" customWidth="1"/>
    <col min="16114" max="16114" width="8.7109375" style="19" customWidth="1"/>
    <col min="16115" max="16384" width="8.7109375" style="19"/>
  </cols>
  <sheetData>
    <row r="2" spans="1:29" ht="13.9" customHeight="1" x14ac:dyDescent="0.25">
      <c r="A2" s="89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79</v>
      </c>
      <c r="N2" s="90" t="s">
        <v>80</v>
      </c>
      <c r="O2" s="90" t="s">
        <v>82</v>
      </c>
      <c r="P2" s="90" t="s">
        <v>83</v>
      </c>
      <c r="Q2" s="90" t="s">
        <v>84</v>
      </c>
      <c r="R2" s="90" t="s">
        <v>87</v>
      </c>
      <c r="S2" s="90" t="s">
        <v>88</v>
      </c>
      <c r="T2" s="90" t="s">
        <v>90</v>
      </c>
      <c r="U2" s="90" t="s">
        <v>91</v>
      </c>
      <c r="V2" s="90" t="s">
        <v>95</v>
      </c>
      <c r="W2" s="90" t="s">
        <v>97</v>
      </c>
      <c r="X2" s="90" t="s">
        <v>98</v>
      </c>
      <c r="Y2" s="90" t="s">
        <v>100</v>
      </c>
      <c r="Z2" s="90" t="s">
        <v>101</v>
      </c>
      <c r="AA2" s="90" t="s">
        <v>102</v>
      </c>
    </row>
    <row r="3" spans="1:29" ht="13.9" customHeight="1" x14ac:dyDescent="0.2">
      <c r="A3" s="22" t="s">
        <v>57</v>
      </c>
      <c r="B3" s="13">
        <v>21.5</v>
      </c>
      <c r="C3" s="13">
        <v>34.5</v>
      </c>
      <c r="D3" s="13">
        <v>111.3</v>
      </c>
      <c r="E3" s="13">
        <f>-6.3-10.7</f>
        <v>-17</v>
      </c>
      <c r="F3" s="13">
        <v>0.30000000000000071</v>
      </c>
      <c r="G3" s="13">
        <v>1.5999999999999996</v>
      </c>
      <c r="H3" s="13">
        <f t="shared" ref="H3:H10" si="0">+I3-E3-F3-G3</f>
        <v>2.9000000000000004</v>
      </c>
      <c r="I3" s="13">
        <v>-12.2</v>
      </c>
      <c r="J3" s="13">
        <v>17.7</v>
      </c>
      <c r="K3" s="13">
        <v>24.5</v>
      </c>
      <c r="L3" s="13">
        <v>-1.9</v>
      </c>
      <c r="M3" s="13">
        <f>+'Income statement'!M18</f>
        <v>48.499999999999993</v>
      </c>
      <c r="N3" s="29">
        <f t="shared" ref="N3:N33" si="1">+M3+L3+K3+J3</f>
        <v>88.8</v>
      </c>
      <c r="O3" s="29">
        <v>45.9</v>
      </c>
      <c r="P3" s="29">
        <v>-5.5000000000000018</v>
      </c>
      <c r="Q3" s="29">
        <f>+'Income statement'!Q18</f>
        <v>43.300000000000004</v>
      </c>
      <c r="R3" s="29">
        <f>+'Income statement'!R18</f>
        <v>0.10000000000000231</v>
      </c>
      <c r="S3" s="29">
        <f>+'Income statement'!S18</f>
        <v>83.80000000000004</v>
      </c>
      <c r="T3" s="29">
        <f>+'Income statement'!T18</f>
        <v>0.20000000000000728</v>
      </c>
      <c r="U3" s="29">
        <v>15.800000000000004</v>
      </c>
      <c r="V3" s="29">
        <v>17.5</v>
      </c>
      <c r="W3" s="29">
        <v>89</v>
      </c>
      <c r="X3" s="29">
        <f t="shared" ref="X3:X13" si="2">+T3+U3+V3+W3</f>
        <v>122.50000000000001</v>
      </c>
      <c r="Y3" s="29">
        <v>61.199999999999996</v>
      </c>
      <c r="Z3" s="29">
        <v>30.8</v>
      </c>
      <c r="AA3" s="41">
        <f>+'Income statement'!AA18</f>
        <v>65.300000000000011</v>
      </c>
      <c r="AB3" s="106"/>
      <c r="AC3" s="101"/>
    </row>
    <row r="4" spans="1:29" ht="13.9" customHeight="1" x14ac:dyDescent="0.2">
      <c r="A4" s="22" t="s">
        <v>58</v>
      </c>
      <c r="B4" s="13">
        <v>13.699999999999996</v>
      </c>
      <c r="C4" s="13">
        <v>21.300000000000004</v>
      </c>
      <c r="D4" s="13">
        <v>74.7</v>
      </c>
      <c r="E4" s="13">
        <v>14.4</v>
      </c>
      <c r="F4" s="13">
        <v>17.800000000000004</v>
      </c>
      <c r="G4" s="13">
        <v>17.799999999999997</v>
      </c>
      <c r="H4" s="13">
        <f t="shared" si="0"/>
        <v>20.900000000000006</v>
      </c>
      <c r="I4" s="13">
        <v>70.900000000000006</v>
      </c>
      <c r="J4" s="13">
        <v>15.8</v>
      </c>
      <c r="K4" s="13">
        <v>18.8</v>
      </c>
      <c r="L4" s="13">
        <v>7.4</v>
      </c>
      <c r="M4" s="13">
        <f>-'Income statement'!M7-'Income statement'!M8</f>
        <v>20.099999999999998</v>
      </c>
      <c r="N4" s="29">
        <f t="shared" si="1"/>
        <v>62.099999999999994</v>
      </c>
      <c r="O4" s="29">
        <v>19.3</v>
      </c>
      <c r="P4" s="29">
        <v>9</v>
      </c>
      <c r="Q4" s="29">
        <v>16.100000000000001</v>
      </c>
      <c r="R4" s="29">
        <v>15.7</v>
      </c>
      <c r="S4" s="29">
        <v>60.1</v>
      </c>
      <c r="T4" s="29">
        <v>15</v>
      </c>
      <c r="U4" s="29">
        <v>17.899999999999999</v>
      </c>
      <c r="V4" s="29">
        <v>23.7</v>
      </c>
      <c r="W4" s="29">
        <v>42.899999999999991</v>
      </c>
      <c r="X4" s="29">
        <f t="shared" si="2"/>
        <v>99.499999999999986</v>
      </c>
      <c r="Y4" s="29">
        <v>36.9</v>
      </c>
      <c r="Z4" s="29">
        <v>35.299999999999997</v>
      </c>
      <c r="AA4" s="41">
        <v>51.6</v>
      </c>
      <c r="AB4" s="106"/>
      <c r="AC4" s="101"/>
    </row>
    <row r="5" spans="1:29" ht="13.9" customHeight="1" x14ac:dyDescent="0.2">
      <c r="A5" s="22" t="s">
        <v>16</v>
      </c>
      <c r="B5" s="13">
        <v>0</v>
      </c>
      <c r="C5" s="13">
        <v>0</v>
      </c>
      <c r="D5" s="13">
        <v>0</v>
      </c>
      <c r="E5" s="13">
        <v>10.7</v>
      </c>
      <c r="F5" s="13">
        <v>0</v>
      </c>
      <c r="G5" s="13">
        <v>0</v>
      </c>
      <c r="H5" s="13">
        <f t="shared" si="0"/>
        <v>2.5</v>
      </c>
      <c r="I5" s="29">
        <v>13.2</v>
      </c>
      <c r="J5" s="29">
        <v>0</v>
      </c>
      <c r="K5" s="29">
        <v>0</v>
      </c>
      <c r="L5" s="29">
        <v>0</v>
      </c>
      <c r="M5" s="29">
        <v>-13.3</v>
      </c>
      <c r="N5" s="29">
        <f t="shared" si="1"/>
        <v>-13.3</v>
      </c>
      <c r="O5" s="29">
        <v>0</v>
      </c>
      <c r="P5" s="29">
        <v>0</v>
      </c>
      <c r="Q5" s="29">
        <v>0</v>
      </c>
      <c r="R5" s="29">
        <v>0</v>
      </c>
      <c r="S5" s="29">
        <f t="shared" ref="S5:S11" si="3">+O5+P5+Q5+R5</f>
        <v>0</v>
      </c>
      <c r="T5" s="29">
        <v>0</v>
      </c>
      <c r="U5" s="29">
        <v>0</v>
      </c>
      <c r="V5" s="29">
        <v>0</v>
      </c>
      <c r="W5" s="29">
        <v>0.4</v>
      </c>
      <c r="X5" s="29">
        <f t="shared" si="2"/>
        <v>0.4</v>
      </c>
      <c r="Y5" s="29">
        <v>0</v>
      </c>
      <c r="Z5" s="29">
        <v>0</v>
      </c>
      <c r="AA5" s="41">
        <v>0</v>
      </c>
      <c r="AB5" s="106"/>
      <c r="AC5" s="101"/>
    </row>
    <row r="6" spans="1:29" ht="13.9" customHeight="1" x14ac:dyDescent="0.2">
      <c r="A6" s="22" t="s">
        <v>59</v>
      </c>
      <c r="B6" s="13">
        <v>0</v>
      </c>
      <c r="C6" s="13">
        <v>0</v>
      </c>
      <c r="D6" s="13">
        <v>0</v>
      </c>
      <c r="E6" s="13">
        <v>1.4</v>
      </c>
      <c r="F6" s="13">
        <v>0.60000000000000009</v>
      </c>
      <c r="G6" s="13">
        <v>-0.30000000000000004</v>
      </c>
      <c r="H6" s="13">
        <f t="shared" si="0"/>
        <v>-1.3</v>
      </c>
      <c r="I6" s="13">
        <v>0.4</v>
      </c>
      <c r="J6" s="13">
        <v>-3.3</v>
      </c>
      <c r="K6" s="13">
        <v>1.4</v>
      </c>
      <c r="L6" s="13">
        <v>-0.5</v>
      </c>
      <c r="M6" s="13">
        <v>-0.1</v>
      </c>
      <c r="N6" s="29">
        <f t="shared" si="1"/>
        <v>-2.5</v>
      </c>
      <c r="O6" s="29">
        <v>19.2</v>
      </c>
      <c r="P6" s="29">
        <v>-9.1</v>
      </c>
      <c r="Q6" s="29">
        <v>-13.9</v>
      </c>
      <c r="R6" s="29">
        <v>2.2999999999999998</v>
      </c>
      <c r="S6" s="29">
        <f t="shared" si="3"/>
        <v>-1.5000000000000009</v>
      </c>
      <c r="T6" s="29">
        <v>-4.0999999999999996</v>
      </c>
      <c r="U6" s="29">
        <v>6.4</v>
      </c>
      <c r="V6" s="29">
        <v>8.3000000000000007</v>
      </c>
      <c r="W6" s="29">
        <v>-7.3000000000000016</v>
      </c>
      <c r="X6" s="29">
        <f t="shared" si="2"/>
        <v>3.3</v>
      </c>
      <c r="Y6" s="29">
        <v>1.5</v>
      </c>
      <c r="Z6" s="29">
        <v>1.5</v>
      </c>
      <c r="AA6" s="41">
        <v>-7.4</v>
      </c>
      <c r="AB6" s="106"/>
      <c r="AC6" s="101"/>
    </row>
    <row r="7" spans="1:29" ht="13.9" customHeight="1" x14ac:dyDescent="0.2">
      <c r="A7" s="22" t="s">
        <v>60</v>
      </c>
      <c r="B7" s="13">
        <v>-2.3000000000000003</v>
      </c>
      <c r="C7" s="13">
        <v>0.10000000000000009</v>
      </c>
      <c r="D7" s="29">
        <v>-2</v>
      </c>
      <c r="E7" s="13">
        <v>1.2</v>
      </c>
      <c r="F7" s="13">
        <v>-9.9999999999999867E-2</v>
      </c>
      <c r="G7" s="13">
        <v>-0.10000000000000009</v>
      </c>
      <c r="H7" s="13">
        <f t="shared" si="0"/>
        <v>-0.4</v>
      </c>
      <c r="I7" s="29">
        <v>0.6</v>
      </c>
      <c r="J7" s="29">
        <v>0.2</v>
      </c>
      <c r="K7" s="29">
        <v>-0.8</v>
      </c>
      <c r="L7" s="29">
        <v>0.2</v>
      </c>
      <c r="M7" s="29">
        <v>0.9</v>
      </c>
      <c r="N7" s="29">
        <f t="shared" si="1"/>
        <v>0.5</v>
      </c>
      <c r="O7" s="29">
        <v>0.1</v>
      </c>
      <c r="P7" s="29">
        <v>1.1000000000000001</v>
      </c>
      <c r="Q7" s="29">
        <v>1.5</v>
      </c>
      <c r="R7" s="29">
        <v>-0.6</v>
      </c>
      <c r="S7" s="29">
        <v>2.1</v>
      </c>
      <c r="T7" s="29">
        <v>-0.3</v>
      </c>
      <c r="U7" s="29">
        <v>-1.1000000000000001</v>
      </c>
      <c r="V7" s="29">
        <v>1.1000000000000001</v>
      </c>
      <c r="W7" s="29">
        <v>0.30000000000000004</v>
      </c>
      <c r="X7" s="29">
        <f t="shared" si="2"/>
        <v>0</v>
      </c>
      <c r="Y7" s="29">
        <v>1.3</v>
      </c>
      <c r="Z7" s="29">
        <v>3.3</v>
      </c>
      <c r="AA7" s="41">
        <v>-1.3</v>
      </c>
      <c r="AB7" s="106"/>
      <c r="AC7" s="101"/>
    </row>
    <row r="8" spans="1:29" ht="13.9" customHeight="1" x14ac:dyDescent="0.2">
      <c r="A8" s="22" t="s">
        <v>61</v>
      </c>
      <c r="B8" s="13">
        <v>-0.60000000000000009</v>
      </c>
      <c r="C8" s="13">
        <v>-0.39999999999999991</v>
      </c>
      <c r="D8" s="13">
        <v>-2</v>
      </c>
      <c r="E8" s="13">
        <v>-0.4</v>
      </c>
      <c r="F8" s="13">
        <v>-0.19999999999999996</v>
      </c>
      <c r="G8" s="13">
        <v>-9.9999999999999978E-2</v>
      </c>
      <c r="H8" s="13">
        <f t="shared" si="0"/>
        <v>-0.20000000000000007</v>
      </c>
      <c r="I8" s="13">
        <v>-0.9</v>
      </c>
      <c r="J8" s="13">
        <v>-0.2</v>
      </c>
      <c r="K8" s="13">
        <v>-0.2</v>
      </c>
      <c r="L8" s="13">
        <v>-0.2</v>
      </c>
      <c r="M8" s="13">
        <v>-0.1</v>
      </c>
      <c r="N8" s="13">
        <f t="shared" si="1"/>
        <v>-0.7</v>
      </c>
      <c r="O8" s="13">
        <v>-0.1</v>
      </c>
      <c r="P8" s="13">
        <v>-0.1</v>
      </c>
      <c r="Q8" s="13">
        <v>-0.3</v>
      </c>
      <c r="R8" s="13">
        <v>-0.7</v>
      </c>
      <c r="S8" s="29">
        <f t="shared" si="3"/>
        <v>-1.2</v>
      </c>
      <c r="T8" s="13">
        <v>0.1</v>
      </c>
      <c r="U8" s="13">
        <v>0.7</v>
      </c>
      <c r="V8" s="13">
        <v>2.5</v>
      </c>
      <c r="W8" s="29">
        <v>-6.5</v>
      </c>
      <c r="X8" s="29">
        <f t="shared" si="2"/>
        <v>-3.2</v>
      </c>
      <c r="Y8" s="29">
        <v>1.4</v>
      </c>
      <c r="Z8" s="29">
        <v>3.2</v>
      </c>
      <c r="AA8" s="41">
        <v>5.9</v>
      </c>
      <c r="AB8" s="106"/>
      <c r="AC8" s="101"/>
    </row>
    <row r="9" spans="1:29" ht="13.9" customHeight="1" x14ac:dyDescent="0.2">
      <c r="A9" s="22" t="s">
        <v>108</v>
      </c>
      <c r="B9" s="13">
        <v>0.4</v>
      </c>
      <c r="C9" s="13">
        <v>-0.60000000000000009</v>
      </c>
      <c r="D9" s="29">
        <v>0.2</v>
      </c>
      <c r="E9" s="13">
        <v>0.1</v>
      </c>
      <c r="F9" s="13">
        <v>0.19999999999999998</v>
      </c>
      <c r="G9" s="13">
        <v>0.10000000000000006</v>
      </c>
      <c r="H9" s="13">
        <f t="shared" si="0"/>
        <v>9.9999999999999978E-2</v>
      </c>
      <c r="I9" s="29">
        <v>0.5</v>
      </c>
      <c r="J9" s="29">
        <v>0.1</v>
      </c>
      <c r="K9" s="29">
        <v>0.2</v>
      </c>
      <c r="L9" s="29">
        <v>0.2</v>
      </c>
      <c r="M9" s="29">
        <v>0.2</v>
      </c>
      <c r="N9" s="29">
        <f t="shared" si="1"/>
        <v>0.70000000000000007</v>
      </c>
      <c r="O9" s="29">
        <v>0.2</v>
      </c>
      <c r="P9" s="29">
        <v>0.2</v>
      </c>
      <c r="Q9" s="29">
        <v>0.2</v>
      </c>
      <c r="R9" s="29">
        <v>0.9</v>
      </c>
      <c r="S9" s="29">
        <v>1.5</v>
      </c>
      <c r="T9" s="29">
        <v>0.4</v>
      </c>
      <c r="U9" s="29">
        <v>1.1000000000000001</v>
      </c>
      <c r="V9" s="29">
        <v>0.8</v>
      </c>
      <c r="W9" s="29">
        <v>2.9</v>
      </c>
      <c r="X9" s="29">
        <v>5.2</v>
      </c>
      <c r="Y9" s="29">
        <v>2.5</v>
      </c>
      <c r="Z9" s="29">
        <v>2</v>
      </c>
      <c r="AA9" s="41">
        <v>2.1</v>
      </c>
      <c r="AB9" s="106"/>
      <c r="AC9" s="101"/>
    </row>
    <row r="10" spans="1:29" ht="13.9" customHeight="1" x14ac:dyDescent="0.2">
      <c r="A10" s="22" t="s">
        <v>62</v>
      </c>
      <c r="B10" s="13">
        <v>0</v>
      </c>
      <c r="C10" s="13">
        <v>0</v>
      </c>
      <c r="D10" s="13">
        <v>-0.3</v>
      </c>
      <c r="E10" s="13">
        <v>1.2</v>
      </c>
      <c r="F10" s="13">
        <v>0</v>
      </c>
      <c r="G10" s="13">
        <v>0</v>
      </c>
      <c r="H10" s="13">
        <f t="shared" si="0"/>
        <v>0</v>
      </c>
      <c r="I10" s="13">
        <v>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13">
        <v>0</v>
      </c>
      <c r="S10" s="29">
        <f t="shared" si="3"/>
        <v>0</v>
      </c>
      <c r="T10" s="13">
        <v>0</v>
      </c>
      <c r="U10" s="13">
        <v>0</v>
      </c>
      <c r="V10" s="13">
        <v>0</v>
      </c>
      <c r="W10" s="29">
        <v>0</v>
      </c>
      <c r="X10" s="29">
        <f t="shared" si="2"/>
        <v>0</v>
      </c>
      <c r="Y10" s="29">
        <v>-0.2</v>
      </c>
      <c r="Z10" s="29">
        <v>0</v>
      </c>
      <c r="AA10" s="41">
        <v>0</v>
      </c>
      <c r="AB10" s="106"/>
      <c r="AC10" s="101"/>
    </row>
    <row r="11" spans="1:29" ht="13.9" customHeight="1" x14ac:dyDescent="0.2">
      <c r="A11" s="22" t="s">
        <v>63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0.2</v>
      </c>
      <c r="M11" s="13">
        <v>0.2</v>
      </c>
      <c r="N11" s="13">
        <f t="shared" si="1"/>
        <v>0.4</v>
      </c>
      <c r="O11" s="13">
        <v>0.2</v>
      </c>
      <c r="P11" s="13">
        <v>0.3</v>
      </c>
      <c r="Q11" s="13">
        <v>0.3</v>
      </c>
      <c r="R11" s="13">
        <v>0.3</v>
      </c>
      <c r="S11" s="29">
        <f t="shared" si="3"/>
        <v>1.1000000000000001</v>
      </c>
      <c r="T11" s="13">
        <v>0.3</v>
      </c>
      <c r="U11" s="13">
        <v>0.3</v>
      </c>
      <c r="V11" s="13">
        <v>0.4</v>
      </c>
      <c r="W11" s="29">
        <v>0.29999999999999993</v>
      </c>
      <c r="X11" s="29">
        <f t="shared" si="2"/>
        <v>1.2999999999999998</v>
      </c>
      <c r="Y11" s="29">
        <v>-0.1</v>
      </c>
      <c r="Z11" s="29">
        <v>0.4</v>
      </c>
      <c r="AA11" s="41">
        <v>0.3</v>
      </c>
      <c r="AB11" s="106"/>
      <c r="AC11" s="101"/>
    </row>
    <row r="12" spans="1:29" ht="13.9" customHeight="1" x14ac:dyDescent="0.2">
      <c r="A12" s="22" t="s">
        <v>64</v>
      </c>
      <c r="B12" s="13">
        <v>40.5</v>
      </c>
      <c r="C12" s="13">
        <v>-5.3000000000000043</v>
      </c>
      <c r="D12" s="13">
        <v>57.8</v>
      </c>
      <c r="E12" s="13">
        <v>44.3</v>
      </c>
      <c r="F12" s="13">
        <v>-36.599999999999994</v>
      </c>
      <c r="G12" s="13">
        <v>14.599999999999998</v>
      </c>
      <c r="H12" s="13">
        <f>+I12-E12-F12-G12</f>
        <v>-19.8</v>
      </c>
      <c r="I12" s="13">
        <v>2.5</v>
      </c>
      <c r="J12" s="13">
        <f>-8.9-0.1</f>
        <v>-9</v>
      </c>
      <c r="K12" s="13">
        <v>27.4</v>
      </c>
      <c r="L12" s="13">
        <v>23.8</v>
      </c>
      <c r="M12" s="13">
        <f>-35+0.3</f>
        <v>-34.700000000000003</v>
      </c>
      <c r="N12" s="13">
        <f t="shared" si="1"/>
        <v>7.4999999999999964</v>
      </c>
      <c r="O12" s="13">
        <v>-62.5</v>
      </c>
      <c r="P12" s="13">
        <v>86.8</v>
      </c>
      <c r="Q12" s="13">
        <v>4</v>
      </c>
      <c r="R12" s="13">
        <v>30.7</v>
      </c>
      <c r="S12" s="29">
        <v>59</v>
      </c>
      <c r="T12" s="13">
        <v>6.5</v>
      </c>
      <c r="U12" s="13">
        <v>26.6</v>
      </c>
      <c r="V12" s="13">
        <v>-27</v>
      </c>
      <c r="W12" s="29">
        <v>-7.2000000000000028</v>
      </c>
      <c r="X12" s="29">
        <v>-1.1000000000000001</v>
      </c>
      <c r="Y12" s="29">
        <v>-66.400000000000006</v>
      </c>
      <c r="Z12" s="29">
        <v>4.3</v>
      </c>
      <c r="AA12" s="41">
        <v>49.2</v>
      </c>
      <c r="AB12" s="106"/>
      <c r="AC12" s="101"/>
    </row>
    <row r="13" spans="1:29" ht="13.9" customHeight="1" x14ac:dyDescent="0.2">
      <c r="A13" s="22" t="s">
        <v>65</v>
      </c>
      <c r="B13" s="13">
        <v>-9.3000000000000007</v>
      </c>
      <c r="C13" s="13">
        <v>-8.1999999999999993</v>
      </c>
      <c r="D13" s="13">
        <v>-36.5</v>
      </c>
      <c r="E13" s="13">
        <v>-6.1</v>
      </c>
      <c r="F13" s="13">
        <v>-5.5</v>
      </c>
      <c r="G13" s="13">
        <v>-7.9</v>
      </c>
      <c r="H13" s="13">
        <f>+I13-E13-F13-G13</f>
        <v>-7.2000000000000011</v>
      </c>
      <c r="I13" s="13">
        <v>-26.7</v>
      </c>
      <c r="J13" s="13">
        <v>-9.6</v>
      </c>
      <c r="K13" s="13">
        <v>-8.5</v>
      </c>
      <c r="L13" s="13">
        <v>-7.7</v>
      </c>
      <c r="M13" s="13">
        <v>-8.8000000000000007</v>
      </c>
      <c r="N13" s="13">
        <f t="shared" si="1"/>
        <v>-34.6</v>
      </c>
      <c r="O13" s="13">
        <v>-9.8000000000000007</v>
      </c>
      <c r="P13" s="13">
        <v>-10.199999999999999</v>
      </c>
      <c r="Q13" s="13">
        <v>-9</v>
      </c>
      <c r="R13" s="13">
        <v>-7.4</v>
      </c>
      <c r="S13" s="29">
        <v>-36.4</v>
      </c>
      <c r="T13" s="13">
        <v>-4.7</v>
      </c>
      <c r="U13" s="13">
        <v>-9.8000000000000007</v>
      </c>
      <c r="V13" s="13">
        <v>-16.899999999999999</v>
      </c>
      <c r="W13" s="29">
        <v>-15.499999999999993</v>
      </c>
      <c r="X13" s="29">
        <f t="shared" si="2"/>
        <v>-46.899999999999991</v>
      </c>
      <c r="Y13" s="29">
        <v>-16.3</v>
      </c>
      <c r="Z13" s="29">
        <v>-17.5</v>
      </c>
      <c r="AA13" s="41">
        <v>-20.8</v>
      </c>
      <c r="AB13" s="106"/>
      <c r="AC13" s="101"/>
    </row>
    <row r="14" spans="1:29" ht="13.9" customHeight="1" x14ac:dyDescent="0.25">
      <c r="A14" s="23" t="s">
        <v>66</v>
      </c>
      <c r="B14" s="70">
        <v>63.899999999999991</v>
      </c>
      <c r="C14" s="70">
        <v>41.400000000000006</v>
      </c>
      <c r="D14" s="70">
        <f>SUM(D3:D13)</f>
        <v>203.2</v>
      </c>
      <c r="E14" s="70">
        <f>SUM(E3:E13)</f>
        <v>49.79999999999999</v>
      </c>
      <c r="F14" s="70">
        <v>-23.499999999999989</v>
      </c>
      <c r="G14" s="70">
        <v>25.699999999999996</v>
      </c>
      <c r="H14" s="56">
        <f t="shared" ref="H14:H33" si="4">+I14-E14-F14-G14</f>
        <v>-2.4999999999999964</v>
      </c>
      <c r="I14" s="81">
        <f>SUM(I3:I13)</f>
        <v>49.5</v>
      </c>
      <c r="J14" s="81">
        <f>SUM(J3:J13)</f>
        <v>11.700000000000001</v>
      </c>
      <c r="K14" s="81">
        <f>SUM(K3:K13)</f>
        <v>62.8</v>
      </c>
      <c r="L14" s="81">
        <f>SUM(L3:L13)</f>
        <v>21.500000000000004</v>
      </c>
      <c r="M14" s="81">
        <f>SUM(M3:M13)</f>
        <v>12.899999999999995</v>
      </c>
      <c r="N14" s="81">
        <f t="shared" si="1"/>
        <v>108.89999999999999</v>
      </c>
      <c r="O14" s="81">
        <v>12.500000000000011</v>
      </c>
      <c r="P14" s="81">
        <v>72.499999999999986</v>
      </c>
      <c r="Q14" s="81">
        <f>SUM(Q3:Q13)</f>
        <v>42.20000000000001</v>
      </c>
      <c r="R14" s="81">
        <f t="shared" ref="R14:S14" si="5">SUM(R3:R13)</f>
        <v>41.300000000000004</v>
      </c>
      <c r="S14" s="81">
        <f t="shared" si="5"/>
        <v>168.50000000000003</v>
      </c>
      <c r="T14" s="81">
        <f t="shared" ref="T14:X14" si="6">SUM(T3:T13)</f>
        <v>13.400000000000009</v>
      </c>
      <c r="U14" s="81">
        <v>57.900000000000006</v>
      </c>
      <c r="V14" s="81">
        <v>10.399999999999999</v>
      </c>
      <c r="W14" s="81">
        <f>SUM(W3:W13)</f>
        <v>99.299999999999983</v>
      </c>
      <c r="X14" s="81">
        <f t="shared" si="6"/>
        <v>181.00000000000006</v>
      </c>
      <c r="Y14" s="81">
        <v>21.799999999999994</v>
      </c>
      <c r="Z14" s="81">
        <v>63.3</v>
      </c>
      <c r="AA14" s="57">
        <f t="shared" ref="AA14" si="7">SUM(AA3:AA13)</f>
        <v>144.89999999999998</v>
      </c>
      <c r="AB14" s="106"/>
      <c r="AC14" s="101"/>
    </row>
    <row r="15" spans="1:29" ht="13.9" customHeight="1" x14ac:dyDescent="0.25">
      <c r="A15" s="24"/>
      <c r="B15" s="71"/>
      <c r="C15" s="71"/>
      <c r="D15" s="71"/>
      <c r="E15" s="71"/>
      <c r="F15" s="71"/>
      <c r="G15" s="7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48"/>
      <c r="AB15" s="106"/>
      <c r="AC15" s="101"/>
    </row>
    <row r="16" spans="1:29" ht="13.9" customHeight="1" x14ac:dyDescent="0.25">
      <c r="A16" s="25" t="s">
        <v>107</v>
      </c>
      <c r="B16" s="71"/>
      <c r="C16" s="71"/>
      <c r="D16" s="71"/>
      <c r="E16" s="71"/>
      <c r="F16" s="71"/>
      <c r="G16" s="71"/>
      <c r="H16" s="82"/>
      <c r="I16" s="83"/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13">
        <v>-38.5</v>
      </c>
      <c r="AA16" s="41">
        <v>1</v>
      </c>
      <c r="AB16" s="106"/>
      <c r="AC16" s="101"/>
    </row>
    <row r="17" spans="1:29" ht="13.9" customHeight="1" x14ac:dyDescent="0.25">
      <c r="A17" s="25" t="s">
        <v>106</v>
      </c>
      <c r="B17" s="71"/>
      <c r="C17" s="71"/>
      <c r="D17" s="71"/>
      <c r="E17" s="71"/>
      <c r="F17" s="71"/>
      <c r="G17" s="7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13"/>
      <c r="AA17" s="41">
        <v>-15.9</v>
      </c>
      <c r="AB17" s="106"/>
      <c r="AC17" s="101"/>
    </row>
    <row r="18" spans="1:29" ht="13.9" customHeight="1" x14ac:dyDescent="0.2">
      <c r="A18" s="22" t="s">
        <v>67</v>
      </c>
      <c r="B18" s="13">
        <v>-72.5</v>
      </c>
      <c r="C18" s="13">
        <v>-47.2</v>
      </c>
      <c r="D18" s="13">
        <v>-152.5</v>
      </c>
      <c r="E18" s="13">
        <v>-49.4</v>
      </c>
      <c r="F18" s="13">
        <v>-9.8000000000000043</v>
      </c>
      <c r="G18" s="13">
        <v>-0.79999999999999716</v>
      </c>
      <c r="H18" s="13">
        <f t="shared" si="4"/>
        <v>-14.5</v>
      </c>
      <c r="I18" s="13">
        <f>-49.6-24.9</f>
        <v>-74.5</v>
      </c>
      <c r="J18" s="13">
        <v>-13.4</v>
      </c>
      <c r="K18" s="13">
        <v>-23.3</v>
      </c>
      <c r="L18" s="13">
        <v>-59.7</v>
      </c>
      <c r="M18" s="13">
        <f>-40.7-80.5+96.4</f>
        <v>-24.799999999999997</v>
      </c>
      <c r="N18" s="13">
        <f t="shared" si="1"/>
        <v>-121.2</v>
      </c>
      <c r="O18" s="13">
        <v>-44.8</v>
      </c>
      <c r="P18" s="13">
        <v>-52.1</v>
      </c>
      <c r="Q18" s="13">
        <v>-65.400000000000006</v>
      </c>
      <c r="R18" s="13">
        <v>-77.599999999999994</v>
      </c>
      <c r="S18" s="29">
        <f>+O18+P18+Q18+R18</f>
        <v>-239.9</v>
      </c>
      <c r="T18" s="13">
        <v>-75.099999999999994</v>
      </c>
      <c r="U18" s="13">
        <v>-77.5</v>
      </c>
      <c r="V18" s="13">
        <v>-104.5</v>
      </c>
      <c r="W18" s="13">
        <v>-77.899999999999977</v>
      </c>
      <c r="X18" s="13">
        <v>-335</v>
      </c>
      <c r="Y18" s="13">
        <v>-82.3</v>
      </c>
      <c r="Z18" s="13">
        <v>-89.2</v>
      </c>
      <c r="AA18" s="41">
        <v>-88.3</v>
      </c>
      <c r="AB18" s="106"/>
      <c r="AC18" s="101"/>
    </row>
    <row r="19" spans="1:29" ht="13.9" hidden="1" customHeight="1" x14ac:dyDescent="0.2">
      <c r="A19" s="22" t="s">
        <v>68</v>
      </c>
      <c r="B19" s="13">
        <v>0</v>
      </c>
      <c r="C19" s="13">
        <v>15.899999999999999</v>
      </c>
      <c r="D19" s="13">
        <v>44.5</v>
      </c>
      <c r="E19" s="13">
        <v>0</v>
      </c>
      <c r="F19" s="13">
        <v>0</v>
      </c>
      <c r="G19" s="13">
        <v>0</v>
      </c>
      <c r="H19" s="13">
        <f t="shared" si="4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1"/>
        <v>0</v>
      </c>
      <c r="O19" s="13">
        <v>0</v>
      </c>
      <c r="P19" s="13">
        <v>0</v>
      </c>
      <c r="Q19" s="13">
        <v>0</v>
      </c>
      <c r="R19" s="13">
        <v>0</v>
      </c>
      <c r="S19" s="29">
        <f>+O19+P19+Q19+R19</f>
        <v>0</v>
      </c>
      <c r="T19" s="13">
        <v>0</v>
      </c>
      <c r="U19" s="13">
        <v>0</v>
      </c>
      <c r="V19" s="13"/>
      <c r="W19" s="13"/>
      <c r="X19" s="13">
        <f t="shared" ref="X19:X20" si="8">+T19+U19+V19+W19</f>
        <v>0</v>
      </c>
      <c r="Y19" s="13">
        <v>0</v>
      </c>
      <c r="Z19" s="13">
        <v>0</v>
      </c>
      <c r="AA19" s="41">
        <v>0</v>
      </c>
      <c r="AB19" s="106"/>
      <c r="AC19" s="101"/>
    </row>
    <row r="20" spans="1:29" ht="13.9" customHeight="1" x14ac:dyDescent="0.2">
      <c r="A20" s="22" t="s">
        <v>69</v>
      </c>
      <c r="B20" s="13">
        <v>0.60000000000000009</v>
      </c>
      <c r="C20" s="13">
        <v>0.39999999999999991</v>
      </c>
      <c r="D20" s="29">
        <v>2</v>
      </c>
      <c r="E20" s="13">
        <v>0.4</v>
      </c>
      <c r="F20" s="13">
        <v>0.19999999999999996</v>
      </c>
      <c r="G20" s="13">
        <v>9.9999999999999978E-2</v>
      </c>
      <c r="H20" s="13">
        <f t="shared" si="4"/>
        <v>0.20000000000000007</v>
      </c>
      <c r="I20" s="29">
        <v>0.9</v>
      </c>
      <c r="J20" s="29">
        <v>0.2</v>
      </c>
      <c r="K20" s="29">
        <v>0.2</v>
      </c>
      <c r="L20" s="29">
        <v>0.2</v>
      </c>
      <c r="M20" s="29">
        <v>0.1</v>
      </c>
      <c r="N20" s="29">
        <f t="shared" si="1"/>
        <v>0.7</v>
      </c>
      <c r="O20" s="13">
        <v>0.1</v>
      </c>
      <c r="P20" s="13">
        <v>0</v>
      </c>
      <c r="Q20" s="29">
        <v>0.3</v>
      </c>
      <c r="R20" s="29">
        <v>1.3</v>
      </c>
      <c r="S20" s="29">
        <v>1.7</v>
      </c>
      <c r="T20" s="13">
        <v>1.6</v>
      </c>
      <c r="U20" s="13">
        <v>2</v>
      </c>
      <c r="V20" s="13">
        <v>2.5</v>
      </c>
      <c r="W20" s="13">
        <v>2.2000000000000002</v>
      </c>
      <c r="X20" s="13">
        <f t="shared" si="8"/>
        <v>8.3000000000000007</v>
      </c>
      <c r="Y20" s="13">
        <v>1.5</v>
      </c>
      <c r="Z20" s="13">
        <v>3.1</v>
      </c>
      <c r="AA20" s="41">
        <v>4.5999999999999996</v>
      </c>
      <c r="AB20" s="106"/>
      <c r="AC20" s="101"/>
    </row>
    <row r="21" spans="1:29" ht="13.9" customHeight="1" x14ac:dyDescent="0.25">
      <c r="A21" s="23" t="s">
        <v>103</v>
      </c>
      <c r="B21" s="56">
        <v>-71.900000000000006</v>
      </c>
      <c r="C21" s="56">
        <v>-30.900000000000006</v>
      </c>
      <c r="D21" s="56">
        <f>SUM(D18:D20)</f>
        <v>-106</v>
      </c>
      <c r="E21" s="56">
        <f t="shared" ref="E21:I21" si="9">SUM(E18:E20)</f>
        <v>-49</v>
      </c>
      <c r="F21" s="56">
        <v>-9.600000000000005</v>
      </c>
      <c r="G21" s="56">
        <v>-0.69999999999999718</v>
      </c>
      <c r="H21" s="56">
        <f t="shared" si="4"/>
        <v>-14.299999999999992</v>
      </c>
      <c r="I21" s="78">
        <f t="shared" si="9"/>
        <v>-73.599999999999994</v>
      </c>
      <c r="J21" s="78">
        <f t="shared" ref="J21:K21" si="10">SUM(J18:J20)</f>
        <v>-13.200000000000001</v>
      </c>
      <c r="K21" s="78">
        <f t="shared" si="10"/>
        <v>-23.1</v>
      </c>
      <c r="L21" s="78">
        <f t="shared" ref="L21:M21" si="11">SUM(L18:L20)</f>
        <v>-59.5</v>
      </c>
      <c r="M21" s="78">
        <f t="shared" si="11"/>
        <v>-24.699999999999996</v>
      </c>
      <c r="N21" s="78">
        <f t="shared" si="1"/>
        <v>-120.49999999999999</v>
      </c>
      <c r="O21" s="78">
        <v>-44.699999999999996</v>
      </c>
      <c r="P21" s="78">
        <v>-52.1</v>
      </c>
      <c r="Q21" s="78">
        <f t="shared" ref="Q21:S21" si="12">SUM(Q18:Q20)</f>
        <v>-65.100000000000009</v>
      </c>
      <c r="R21" s="78">
        <f t="shared" si="12"/>
        <v>-76.3</v>
      </c>
      <c r="S21" s="78">
        <f t="shared" si="12"/>
        <v>-238.20000000000002</v>
      </c>
      <c r="T21" s="78">
        <f t="shared" ref="T21:X21" si="13">SUM(T18:T20)</f>
        <v>-73.5</v>
      </c>
      <c r="U21" s="78">
        <v>-75.5</v>
      </c>
      <c r="V21" s="78">
        <v>-102</v>
      </c>
      <c r="W21" s="78">
        <f>SUM(W18:W20)</f>
        <v>-75.699999999999974</v>
      </c>
      <c r="X21" s="78">
        <f t="shared" si="13"/>
        <v>-326.7</v>
      </c>
      <c r="Y21" s="78">
        <v>-80.8</v>
      </c>
      <c r="Z21" s="78">
        <v>-124.60000000000001</v>
      </c>
      <c r="AA21" s="15">
        <f>SUM(AA16:AA20)</f>
        <v>-98.600000000000009</v>
      </c>
      <c r="AB21" s="106"/>
      <c r="AC21" s="101"/>
    </row>
    <row r="22" spans="1:29" ht="13.9" customHeight="1" x14ac:dyDescent="0.25">
      <c r="A22" s="24"/>
      <c r="B22" s="71"/>
      <c r="C22" s="71"/>
      <c r="D22" s="71"/>
      <c r="E22" s="71"/>
      <c r="F22" s="71"/>
      <c r="G22" s="7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48"/>
      <c r="AB22" s="106"/>
      <c r="AC22" s="101"/>
    </row>
    <row r="23" spans="1:29" ht="13.9" customHeight="1" x14ac:dyDescent="0.2">
      <c r="A23" s="22" t="s">
        <v>70</v>
      </c>
      <c r="B23" s="13">
        <v>3.0999999999999943</v>
      </c>
      <c r="C23" s="13">
        <v>-8.0999999999999979</v>
      </c>
      <c r="D23" s="13">
        <v>30.2</v>
      </c>
      <c r="E23" s="13">
        <v>0</v>
      </c>
      <c r="F23" s="13">
        <v>0</v>
      </c>
      <c r="G23" s="13">
        <v>0</v>
      </c>
      <c r="H23" s="13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1"/>
        <v>0</v>
      </c>
      <c r="O23" s="13">
        <v>0</v>
      </c>
      <c r="P23" s="13">
        <v>0</v>
      </c>
      <c r="Q23" s="13">
        <v>100</v>
      </c>
      <c r="R23" s="13">
        <v>71</v>
      </c>
      <c r="S23" s="29">
        <f t="shared" ref="S23:S30" si="14">+O23+P23+Q23+R23</f>
        <v>171</v>
      </c>
      <c r="T23" s="13">
        <v>29</v>
      </c>
      <c r="U23" s="13">
        <v>100</v>
      </c>
      <c r="V23" s="13">
        <v>80</v>
      </c>
      <c r="W23" s="13">
        <v>0</v>
      </c>
      <c r="X23" s="13">
        <f t="shared" ref="X23:X27" si="15">+T23+U23+V23+W23</f>
        <v>209</v>
      </c>
      <c r="Y23" s="13">
        <v>40</v>
      </c>
      <c r="Z23" s="13">
        <v>250</v>
      </c>
      <c r="AA23" s="41">
        <v>0</v>
      </c>
      <c r="AB23" s="106"/>
      <c r="AC23" s="101"/>
    </row>
    <row r="24" spans="1:29" ht="13.9" customHeight="1" x14ac:dyDescent="0.2">
      <c r="A24" s="22" t="s">
        <v>71</v>
      </c>
      <c r="B24" s="13">
        <v>0</v>
      </c>
      <c r="C24" s="13">
        <v>0</v>
      </c>
      <c r="D24" s="13">
        <v>-28.6</v>
      </c>
      <c r="E24" s="13">
        <v>-27.5</v>
      </c>
      <c r="F24" s="13">
        <v>0</v>
      </c>
      <c r="G24" s="13">
        <v>0</v>
      </c>
      <c r="H24" s="13">
        <f t="shared" si="4"/>
        <v>0</v>
      </c>
      <c r="I24" s="13">
        <v>-27.5</v>
      </c>
      <c r="J24" s="13">
        <v>0</v>
      </c>
      <c r="K24" s="13">
        <v>0</v>
      </c>
      <c r="L24" s="13">
        <v>0</v>
      </c>
      <c r="M24" s="13">
        <v>0</v>
      </c>
      <c r="N24" s="13">
        <f t="shared" si="1"/>
        <v>0</v>
      </c>
      <c r="O24" s="13">
        <v>0</v>
      </c>
      <c r="P24" s="13">
        <v>0</v>
      </c>
      <c r="Q24" s="13">
        <v>0</v>
      </c>
      <c r="R24" s="13">
        <v>0</v>
      </c>
      <c r="S24" s="29">
        <f t="shared" si="14"/>
        <v>0</v>
      </c>
      <c r="T24" s="13">
        <v>0</v>
      </c>
      <c r="U24" s="13">
        <v>0</v>
      </c>
      <c r="V24" s="13">
        <v>0</v>
      </c>
      <c r="W24" s="13"/>
      <c r="X24" s="13">
        <f t="shared" si="15"/>
        <v>0</v>
      </c>
      <c r="Y24" s="13">
        <v>0</v>
      </c>
      <c r="Z24" s="13">
        <v>-70</v>
      </c>
      <c r="AA24" s="41">
        <v>-33.799999999999997</v>
      </c>
      <c r="AB24" s="106"/>
      <c r="AC24" s="101"/>
    </row>
    <row r="25" spans="1:29" ht="13.9" customHeight="1" x14ac:dyDescent="0.2">
      <c r="A25" s="22" t="s">
        <v>72</v>
      </c>
      <c r="B25" s="13">
        <v>0</v>
      </c>
      <c r="C25" s="13">
        <v>0</v>
      </c>
      <c r="D25" s="29">
        <v>0</v>
      </c>
      <c r="E25" s="13">
        <v>122.8</v>
      </c>
      <c r="F25" s="13">
        <v>0</v>
      </c>
      <c r="G25" s="13">
        <v>0</v>
      </c>
      <c r="H25" s="13">
        <f t="shared" si="4"/>
        <v>0</v>
      </c>
      <c r="I25" s="29">
        <v>122.8</v>
      </c>
      <c r="J25" s="29">
        <v>75</v>
      </c>
      <c r="K25" s="29">
        <v>0</v>
      </c>
      <c r="L25" s="29">
        <v>0</v>
      </c>
      <c r="M25" s="29">
        <v>0</v>
      </c>
      <c r="N25" s="29">
        <f t="shared" si="1"/>
        <v>75</v>
      </c>
      <c r="O25" s="29">
        <v>0</v>
      </c>
      <c r="P25" s="29">
        <v>0</v>
      </c>
      <c r="Q25" s="29">
        <v>0</v>
      </c>
      <c r="R25" s="29">
        <v>0</v>
      </c>
      <c r="S25" s="29">
        <f t="shared" si="14"/>
        <v>0</v>
      </c>
      <c r="T25" s="29">
        <v>0</v>
      </c>
      <c r="U25" s="29">
        <v>0</v>
      </c>
      <c r="V25" s="29">
        <v>0</v>
      </c>
      <c r="W25" s="29">
        <v>0</v>
      </c>
      <c r="X25" s="29">
        <f t="shared" si="15"/>
        <v>0</v>
      </c>
      <c r="Y25" s="29">
        <v>0</v>
      </c>
      <c r="Z25" s="29">
        <v>0</v>
      </c>
      <c r="AA25" s="41">
        <v>0</v>
      </c>
      <c r="AB25" s="106"/>
      <c r="AC25" s="101"/>
    </row>
    <row r="26" spans="1:29" ht="13.9" customHeight="1" x14ac:dyDescent="0.2">
      <c r="A26" s="22" t="s">
        <v>73</v>
      </c>
      <c r="B26" s="13">
        <v>0</v>
      </c>
      <c r="C26" s="13">
        <v>0</v>
      </c>
      <c r="D26" s="29">
        <v>0</v>
      </c>
      <c r="E26" s="13">
        <v>-1.5</v>
      </c>
      <c r="F26" s="13">
        <v>0.10000000000000009</v>
      </c>
      <c r="G26" s="13">
        <v>-0.20000000000000018</v>
      </c>
      <c r="H26" s="84">
        <v>0</v>
      </c>
      <c r="I26" s="29">
        <f>3.7-5.3</f>
        <v>-1.5999999999999996</v>
      </c>
      <c r="J26" s="29">
        <f>-1.5+0.1</f>
        <v>-1.4</v>
      </c>
      <c r="K26" s="29">
        <v>0</v>
      </c>
      <c r="L26" s="29">
        <v>0</v>
      </c>
      <c r="M26" s="29">
        <v>0</v>
      </c>
      <c r="N26" s="29">
        <f t="shared" si="1"/>
        <v>-1.4</v>
      </c>
      <c r="O26" s="29">
        <v>0</v>
      </c>
      <c r="P26" s="29">
        <v>0</v>
      </c>
      <c r="Q26" s="29">
        <v>0</v>
      </c>
      <c r="R26" s="29">
        <v>0</v>
      </c>
      <c r="S26" s="29">
        <f t="shared" si="14"/>
        <v>0</v>
      </c>
      <c r="T26" s="29">
        <v>0</v>
      </c>
      <c r="U26" s="29">
        <v>0</v>
      </c>
      <c r="V26" s="29">
        <v>0</v>
      </c>
      <c r="W26" s="29">
        <v>0</v>
      </c>
      <c r="X26" s="29">
        <f t="shared" si="15"/>
        <v>0</v>
      </c>
      <c r="Y26" s="29">
        <v>0</v>
      </c>
      <c r="Z26" s="29">
        <v>0</v>
      </c>
      <c r="AA26" s="41">
        <v>0</v>
      </c>
      <c r="AB26" s="106"/>
      <c r="AC26" s="101"/>
    </row>
    <row r="27" spans="1:29" ht="13.9" customHeight="1" x14ac:dyDescent="0.2">
      <c r="A27" s="22" t="s">
        <v>89</v>
      </c>
      <c r="B27" s="96"/>
      <c r="C27" s="96"/>
      <c r="D27" s="97"/>
      <c r="E27" s="13">
        <v>0</v>
      </c>
      <c r="F27" s="13">
        <v>0</v>
      </c>
      <c r="G27" s="13">
        <v>0</v>
      </c>
      <c r="H27" s="84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f t="shared" ref="N27" si="16">+M27+L27+K27+J27</f>
        <v>0</v>
      </c>
      <c r="O27" s="13">
        <v>0</v>
      </c>
      <c r="P27" s="13">
        <v>0</v>
      </c>
      <c r="Q27" s="13">
        <v>0</v>
      </c>
      <c r="R27" s="13">
        <v>-6.3</v>
      </c>
      <c r="S27" s="29">
        <v>-6.3</v>
      </c>
      <c r="T27" s="29">
        <v>-1.4</v>
      </c>
      <c r="U27" s="29">
        <v>-1.1000000000000001</v>
      </c>
      <c r="V27" s="29">
        <v>-0.2</v>
      </c>
      <c r="W27" s="29">
        <v>0</v>
      </c>
      <c r="X27" s="29">
        <f t="shared" si="15"/>
        <v>-2.7</v>
      </c>
      <c r="Y27" s="29">
        <v>0</v>
      </c>
      <c r="Z27" s="29">
        <v>-4.0999999999999996</v>
      </c>
      <c r="AA27" s="41">
        <v>0</v>
      </c>
      <c r="AB27" s="106"/>
      <c r="AC27" s="101"/>
    </row>
    <row r="28" spans="1:29" ht="13.9" customHeight="1" x14ac:dyDescent="0.2">
      <c r="A28" s="22" t="s">
        <v>74</v>
      </c>
      <c r="B28" s="13">
        <v>-7.0000000000000018</v>
      </c>
      <c r="C28" s="13">
        <v>-6.7999999999999972</v>
      </c>
      <c r="D28" s="13">
        <v>-27.4</v>
      </c>
      <c r="E28" s="13">
        <v>-7.3</v>
      </c>
      <c r="F28" s="13">
        <v>-7.7</v>
      </c>
      <c r="G28" s="13">
        <v>-7.1000000000000005</v>
      </c>
      <c r="H28" s="13">
        <f>+I28-E28-F28-G28</f>
        <v>-7.8999999999999995</v>
      </c>
      <c r="I28" s="13">
        <v>-30</v>
      </c>
      <c r="J28" s="13">
        <v>-7.9</v>
      </c>
      <c r="K28" s="13">
        <v>-8</v>
      </c>
      <c r="L28" s="13">
        <v>-7.9</v>
      </c>
      <c r="M28" s="13">
        <v>-7.9</v>
      </c>
      <c r="N28" s="13">
        <f>+M28+L28+K28+J28</f>
        <v>-31.700000000000003</v>
      </c>
      <c r="O28" s="13">
        <v>-7.9</v>
      </c>
      <c r="P28" s="13">
        <v>-7.9</v>
      </c>
      <c r="Q28" s="13">
        <v>-7.9</v>
      </c>
      <c r="R28" s="13">
        <v>-7.9</v>
      </c>
      <c r="S28" s="29">
        <v>-31.6</v>
      </c>
      <c r="T28" s="13">
        <v>-8.1</v>
      </c>
      <c r="U28" s="13">
        <v>-8.3000000000000007</v>
      </c>
      <c r="V28" s="13">
        <v>-13.2</v>
      </c>
      <c r="W28" s="13">
        <v>-18.7</v>
      </c>
      <c r="X28" s="13">
        <f>+T28+U28+V28+W28+0.1</f>
        <v>-48.199999999999996</v>
      </c>
      <c r="Y28" s="13">
        <v>-12.6</v>
      </c>
      <c r="Z28" s="13">
        <v>-12.4</v>
      </c>
      <c r="AA28" s="41">
        <v>-24.6</v>
      </c>
      <c r="AB28" s="106"/>
      <c r="AC28" s="101"/>
    </row>
    <row r="29" spans="1:29" ht="13.9" customHeight="1" x14ac:dyDescent="0.2">
      <c r="A29" s="22" t="s">
        <v>86</v>
      </c>
      <c r="B29" s="13"/>
      <c r="C29" s="13"/>
      <c r="D29" s="29"/>
      <c r="E29" s="13">
        <v>0</v>
      </c>
      <c r="F29" s="13">
        <v>0</v>
      </c>
      <c r="G29" s="13">
        <v>0</v>
      </c>
      <c r="H29" s="84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-5.9</v>
      </c>
      <c r="R29" s="29">
        <v>2.4</v>
      </c>
      <c r="S29" s="29">
        <v>-3.5</v>
      </c>
      <c r="T29" s="29">
        <v>-3.8000000000000003</v>
      </c>
      <c r="U29" s="29">
        <v>-5.9</v>
      </c>
      <c r="V29" s="29">
        <v>-10.8</v>
      </c>
      <c r="W29" s="29">
        <v>-8.4</v>
      </c>
      <c r="X29" s="29">
        <f>+T29+U29+V29+W29-0.1</f>
        <v>-29</v>
      </c>
      <c r="Y29" s="29">
        <v>-12.5</v>
      </c>
      <c r="Z29" s="29">
        <v>-8.1</v>
      </c>
      <c r="AA29" s="41">
        <v>-22.3</v>
      </c>
      <c r="AB29" s="106"/>
      <c r="AC29" s="101"/>
    </row>
    <row r="30" spans="1:29" ht="13.9" hidden="1" customHeight="1" x14ac:dyDescent="0.2">
      <c r="A30" s="25" t="s">
        <v>75</v>
      </c>
      <c r="B30" s="13">
        <v>0</v>
      </c>
      <c r="C30" s="13">
        <v>0</v>
      </c>
      <c r="D30" s="13">
        <v>1.3</v>
      </c>
      <c r="E30" s="13">
        <v>0</v>
      </c>
      <c r="F30" s="13">
        <v>0</v>
      </c>
      <c r="G30" s="13">
        <v>0</v>
      </c>
      <c r="H30" s="13">
        <f t="shared" si="4"/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1"/>
        <v>0</v>
      </c>
      <c r="O30" s="13">
        <v>0</v>
      </c>
      <c r="P30" s="13">
        <v>0</v>
      </c>
      <c r="Q30" s="13">
        <v>0</v>
      </c>
      <c r="R30" s="13">
        <v>0</v>
      </c>
      <c r="S30" s="29">
        <f t="shared" si="14"/>
        <v>0</v>
      </c>
      <c r="T30" s="13">
        <v>0</v>
      </c>
      <c r="U30" s="13">
        <v>0</v>
      </c>
      <c r="V30" s="13">
        <v>0</v>
      </c>
      <c r="W30" s="13"/>
      <c r="X30" s="13">
        <v>0</v>
      </c>
      <c r="Y30" s="13">
        <v>0</v>
      </c>
      <c r="Z30" s="13">
        <v>0</v>
      </c>
      <c r="AA30" s="41">
        <v>0</v>
      </c>
      <c r="AB30" s="106"/>
      <c r="AC30" s="101"/>
    </row>
    <row r="31" spans="1:29" ht="13.9" customHeight="1" x14ac:dyDescent="0.25">
      <c r="A31" s="23" t="s">
        <v>104</v>
      </c>
      <c r="B31" s="52">
        <v>-3.9000000000000075</v>
      </c>
      <c r="C31" s="52">
        <v>-14.899999999999995</v>
      </c>
      <c r="D31" s="52">
        <f>SUM(D23:D30)</f>
        <v>-24.5</v>
      </c>
      <c r="E31" s="52">
        <f>SUM(E23:E30)</f>
        <v>86.5</v>
      </c>
      <c r="F31" s="52">
        <v>-7.6</v>
      </c>
      <c r="G31" s="52">
        <v>-7.3000000000000007</v>
      </c>
      <c r="H31" s="52">
        <f t="shared" si="4"/>
        <v>-7.8999999999999968</v>
      </c>
      <c r="I31" s="76">
        <f>SUM(I23:I30)</f>
        <v>63.7</v>
      </c>
      <c r="J31" s="76">
        <f>SUM(J23:J30)</f>
        <v>65.699999999999989</v>
      </c>
      <c r="K31" s="76">
        <f>SUM(K23:K30)</f>
        <v>-8</v>
      </c>
      <c r="L31" s="76">
        <f>SUM(L23:L30)</f>
        <v>-7.9</v>
      </c>
      <c r="M31" s="76">
        <f>SUM(M23:M30)</f>
        <v>-7.9</v>
      </c>
      <c r="N31" s="76">
        <f t="shared" si="1"/>
        <v>41.899999999999991</v>
      </c>
      <c r="O31" s="76">
        <v>-7.9</v>
      </c>
      <c r="P31" s="76">
        <v>-7.9</v>
      </c>
      <c r="Q31" s="76">
        <f>SUM(Q23:Q30)</f>
        <v>86.199999999999989</v>
      </c>
      <c r="R31" s="76">
        <f>SUM(R23:R30)</f>
        <v>59.2</v>
      </c>
      <c r="S31" s="76">
        <f>SUM(S23:S30)</f>
        <v>129.6</v>
      </c>
      <c r="T31" s="76">
        <f>SUM(T23:T30)</f>
        <v>15.7</v>
      </c>
      <c r="U31" s="76">
        <v>84.7</v>
      </c>
      <c r="V31" s="76">
        <v>55.8</v>
      </c>
      <c r="W31" s="76">
        <f>SUM(W23:W29)</f>
        <v>-27.1</v>
      </c>
      <c r="X31" s="76">
        <f>SUM(X23:X30)</f>
        <v>129.10000000000002</v>
      </c>
      <c r="Y31" s="76">
        <v>14.9</v>
      </c>
      <c r="Z31" s="76">
        <v>155.4</v>
      </c>
      <c r="AA31" s="40">
        <f>SUM(AA23:AA30)</f>
        <v>-80.7</v>
      </c>
      <c r="AB31" s="106"/>
      <c r="AC31" s="101"/>
    </row>
    <row r="32" spans="1:29" s="21" customFormat="1" ht="13.9" customHeight="1" x14ac:dyDescent="0.25">
      <c r="A32" s="26"/>
      <c r="B32" s="72"/>
      <c r="C32" s="72"/>
      <c r="D32" s="72"/>
      <c r="E32" s="72"/>
      <c r="F32" s="72"/>
      <c r="G32" s="72"/>
      <c r="H32" s="72">
        <f t="shared" si="4"/>
        <v>0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28"/>
      <c r="AB32" s="106"/>
      <c r="AC32" s="101"/>
    </row>
    <row r="33" spans="1:29" s="21" customFormat="1" ht="13.9" customHeight="1" x14ac:dyDescent="0.25">
      <c r="A33" s="27" t="s">
        <v>76</v>
      </c>
      <c r="B33" s="56">
        <v>-11.90000000000002</v>
      </c>
      <c r="C33" s="56">
        <v>-4.3999999999999915</v>
      </c>
      <c r="D33" s="56">
        <f>+D31+D21+D14</f>
        <v>72.699999999999989</v>
      </c>
      <c r="E33" s="56">
        <f>+E31+E21+E14</f>
        <v>87.299999999999983</v>
      </c>
      <c r="F33" s="56">
        <v>-40.699999999999989</v>
      </c>
      <c r="G33" s="56">
        <v>17.699999999999996</v>
      </c>
      <c r="H33" s="56">
        <f t="shared" si="4"/>
        <v>-24.699999999999982</v>
      </c>
      <c r="I33" s="78">
        <f>+I31+I21+I14</f>
        <v>39.600000000000009</v>
      </c>
      <c r="J33" s="78">
        <f>+J31+J21+J14</f>
        <v>64.199999999999989</v>
      </c>
      <c r="K33" s="78">
        <f>+K31+K21+K14</f>
        <v>31.699999999999996</v>
      </c>
      <c r="L33" s="78">
        <f>+L31+L21+L14</f>
        <v>-45.900000000000006</v>
      </c>
      <c r="M33" s="78">
        <f>+M31+M21+M14</f>
        <v>-19.7</v>
      </c>
      <c r="N33" s="78">
        <f t="shared" si="1"/>
        <v>30.299999999999976</v>
      </c>
      <c r="O33" s="78">
        <v>-40.09999999999998</v>
      </c>
      <c r="P33" s="78">
        <v>12.499999999999986</v>
      </c>
      <c r="Q33" s="78">
        <f>+Q31+Q21+Q14</f>
        <v>63.29999999999999</v>
      </c>
      <c r="R33" s="78">
        <f>+R31+R21+R14</f>
        <v>24.20000000000001</v>
      </c>
      <c r="S33" s="78">
        <f>+S31+S21+S14</f>
        <v>59.900000000000006</v>
      </c>
      <c r="T33" s="78">
        <f>+T31+T21+T14</f>
        <v>-44.399999999999991</v>
      </c>
      <c r="U33" s="78">
        <v>67.100000000000009</v>
      </c>
      <c r="V33" s="78">
        <v>-35.800000000000004</v>
      </c>
      <c r="W33" s="78">
        <f>+W14+W21+W31</f>
        <v>-3.4999999999999929</v>
      </c>
      <c r="X33" s="78">
        <f>+X31+X21+X14</f>
        <v>-16.599999999999909</v>
      </c>
      <c r="Y33" s="78">
        <v>-44.099999999999994</v>
      </c>
      <c r="Z33" s="78">
        <v>94.1</v>
      </c>
      <c r="AA33" s="15">
        <f>+AA31+AA21+AA14</f>
        <v>-34.400000000000034</v>
      </c>
      <c r="AB33" s="106"/>
      <c r="AC33" s="101"/>
    </row>
    <row r="34" spans="1:29" ht="13.9" customHeight="1" x14ac:dyDescent="0.25">
      <c r="A34" s="26"/>
      <c r="B34" s="71"/>
      <c r="C34" s="71"/>
      <c r="D34" s="71"/>
      <c r="E34" s="71"/>
      <c r="F34" s="71"/>
      <c r="G34" s="7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48"/>
      <c r="AB34" s="106"/>
      <c r="AC34" s="101"/>
    </row>
    <row r="35" spans="1:29" ht="13.9" customHeight="1" x14ac:dyDescent="0.25">
      <c r="A35" s="22" t="s">
        <v>77</v>
      </c>
      <c r="B35" s="73">
        <v>97.300000000000011</v>
      </c>
      <c r="C35" s="73">
        <v>85.399999999999977</v>
      </c>
      <c r="D35" s="73">
        <v>8.3000000000000007</v>
      </c>
      <c r="E35" s="73">
        <v>81</v>
      </c>
      <c r="F35" s="73">
        <v>168.29999999999998</v>
      </c>
      <c r="G35" s="73">
        <v>127.6</v>
      </c>
      <c r="H35" s="86">
        <f>+G36</f>
        <v>145.29999999999998</v>
      </c>
      <c r="I35" s="87">
        <v>81</v>
      </c>
      <c r="J35" s="87">
        <f>+I36</f>
        <v>120.60000000000001</v>
      </c>
      <c r="K35" s="87">
        <f>+J36</f>
        <v>184.8</v>
      </c>
      <c r="L35" s="87">
        <f>+K36</f>
        <v>216.5</v>
      </c>
      <c r="M35" s="87">
        <f>+L36</f>
        <v>170.6</v>
      </c>
      <c r="N35" s="87">
        <f>+I36</f>
        <v>120.60000000000001</v>
      </c>
      <c r="O35" s="87">
        <v>150.89999999999998</v>
      </c>
      <c r="P35" s="87">
        <v>110.8</v>
      </c>
      <c r="Q35" s="87">
        <f>+P36</f>
        <v>123.29999999999998</v>
      </c>
      <c r="R35" s="87">
        <f t="shared" ref="R35:T35" si="17">+Q36</f>
        <v>186.59999999999997</v>
      </c>
      <c r="S35" s="87">
        <f>+N36</f>
        <v>150.89999999999998</v>
      </c>
      <c r="T35" s="87">
        <f t="shared" si="17"/>
        <v>210.79999999999998</v>
      </c>
      <c r="U35" s="87">
        <v>166.39999999999998</v>
      </c>
      <c r="V35" s="87">
        <v>233.5</v>
      </c>
      <c r="W35" s="87">
        <f>+V36</f>
        <v>197.7</v>
      </c>
      <c r="X35" s="87">
        <f>+S36</f>
        <v>210.79999999999998</v>
      </c>
      <c r="Y35" s="87">
        <v>194.20000000000007</v>
      </c>
      <c r="Z35" s="87">
        <v>150.10000000000008</v>
      </c>
      <c r="AA35" s="49">
        <f>+Z36</f>
        <v>244.20000000000007</v>
      </c>
      <c r="AB35" s="106"/>
      <c r="AC35" s="101"/>
    </row>
    <row r="36" spans="1:29" ht="13.9" customHeight="1" x14ac:dyDescent="0.25">
      <c r="A36" s="23" t="s">
        <v>78</v>
      </c>
      <c r="B36" s="56">
        <v>85.399999999999991</v>
      </c>
      <c r="C36" s="56">
        <v>80.999999999999986</v>
      </c>
      <c r="D36" s="56">
        <f t="shared" ref="D36" si="18">SUM(D33:D35)</f>
        <v>80.999999999999986</v>
      </c>
      <c r="E36" s="56">
        <f t="shared" ref="E36:I36" si="19">SUM(E33:E35)</f>
        <v>168.29999999999998</v>
      </c>
      <c r="F36" s="56">
        <v>127.6</v>
      </c>
      <c r="G36" s="56">
        <v>145.29999999999998</v>
      </c>
      <c r="H36" s="56">
        <f>+H33+H35</f>
        <v>120.6</v>
      </c>
      <c r="I36" s="78">
        <f t="shared" si="19"/>
        <v>120.60000000000001</v>
      </c>
      <c r="J36" s="78">
        <f t="shared" ref="J36:K36" si="20">SUM(J33:J35)</f>
        <v>184.8</v>
      </c>
      <c r="K36" s="78">
        <f t="shared" si="20"/>
        <v>216.5</v>
      </c>
      <c r="L36" s="78">
        <f t="shared" ref="L36:M36" si="21">SUM(L33:L35)</f>
        <v>170.6</v>
      </c>
      <c r="M36" s="78">
        <f t="shared" si="21"/>
        <v>150.9</v>
      </c>
      <c r="N36" s="78">
        <f>+N33+N35</f>
        <v>150.89999999999998</v>
      </c>
      <c r="O36" s="78">
        <v>110.8</v>
      </c>
      <c r="P36" s="78">
        <v>123.29999999999998</v>
      </c>
      <c r="Q36" s="78">
        <f t="shared" ref="Q36:S36" si="22">SUM(Q33:Q35)</f>
        <v>186.59999999999997</v>
      </c>
      <c r="R36" s="78">
        <f t="shared" si="22"/>
        <v>210.79999999999998</v>
      </c>
      <c r="S36" s="78">
        <f t="shared" si="22"/>
        <v>210.79999999999998</v>
      </c>
      <c r="T36" s="78">
        <f t="shared" ref="T36:X36" si="23">SUM(T33:T35)</f>
        <v>166.39999999999998</v>
      </c>
      <c r="U36" s="78">
        <v>233.5</v>
      </c>
      <c r="V36" s="78">
        <v>197.7</v>
      </c>
      <c r="W36" s="78">
        <f>+W33+W35</f>
        <v>194.2</v>
      </c>
      <c r="X36" s="78">
        <f t="shared" si="23"/>
        <v>194.20000000000007</v>
      </c>
      <c r="Y36" s="78">
        <v>150.10000000000008</v>
      </c>
      <c r="Z36" s="78">
        <v>244.20000000000007</v>
      </c>
      <c r="AA36" s="35">
        <f t="shared" ref="AA36" si="24">SUM(AA33:AA35)</f>
        <v>209.80000000000004</v>
      </c>
      <c r="AB36" s="106"/>
      <c r="AC36" s="101"/>
    </row>
    <row r="37" spans="1:29" ht="13.9" customHeight="1" x14ac:dyDescent="0.25">
      <c r="AA37" s="109">
        <f>+'Balance sheet'!V16-Cashflow!AA36</f>
        <v>0</v>
      </c>
      <c r="AC37" s="101"/>
    </row>
  </sheetData>
  <sheetProtection algorithmName="SHA-512" hashValue="FZhXdkiagbfd6xTM+NBfuopegZil+usHfj3ftfMPAThmp7MoPcaZVMd4QUYqZdSotdCHORCUk3z8ZeuB0Grg/g==" saltValue="qHFkc3tkKDGeX6gmxZpVIw==" spinCount="100000" sheet="1" objects="1" scenarios="1"/>
  <phoneticPr fontId="9" type="noConversion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H32:K36 L34:M34 Q34:Q35 O34 D14:O14 L35:O35 Q14:T14 R35 W14:X14 T35:U35 W35" unlockedFormula="1"/>
    <ignoredError sqref="S35 X35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F349-262B-49D6-9CDE-4D733282313C}">
  <dimension ref="E2"/>
  <sheetViews>
    <sheetView workbookViewId="0">
      <selection activeCell="K11" sqref="K11"/>
    </sheetView>
  </sheetViews>
  <sheetFormatPr defaultRowHeight="15" x14ac:dyDescent="0.25"/>
  <sheetData>
    <row r="2" spans="5:5" x14ac:dyDescent="0.25">
      <c r="E2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31FF2BCE666F4494F8BFAEE5D60E0B" ma:contentTypeVersion="15" ma:contentTypeDescription="Create a new document." ma:contentTypeScope="" ma:versionID="49e0ef56f6f078a7ab50966930896f00">
  <xsd:schema xmlns:xsd="http://www.w3.org/2001/XMLSchema" xmlns:xs="http://www.w3.org/2001/XMLSchema" xmlns:p="http://schemas.microsoft.com/office/2006/metadata/properties" xmlns:ns2="5e099e1a-1e6a-4bdc-8624-f7e9c6c9fbf5" xmlns:ns3="333bc73e-c9dc-48db-aced-bf36dbeb209b" targetNamespace="http://schemas.microsoft.com/office/2006/metadata/properties" ma:root="true" ma:fieldsID="f753625236a7ce7340ffe760bf9ef2c0" ns2:_="" ns3:_="">
    <xsd:import namespace="5e099e1a-1e6a-4bdc-8624-f7e9c6c9fbf5"/>
    <xsd:import namespace="333bc73e-c9dc-48db-aced-bf36dbeb20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9e1a-1e6a-4bdc-8624-f7e9c6c9fb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007f78-8d19-4779-86bc-e97b55f164d6}" ma:internalName="TaxCatchAll" ma:showField="CatchAllData" ma:web="5e099e1a-1e6a-4bdc-8624-f7e9c6c9f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bc73e-c9dc-48db-aced-bf36dbeb2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1c041a-d327-41ff-b195-7a6a669727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099e1a-1e6a-4bdc-8624-f7e9c6c9fbf5">
      <UserInfo>
        <DisplayName>Luiz Mendes</DisplayName>
        <AccountId>26</AccountId>
        <AccountType/>
      </UserInfo>
      <UserInfo>
        <DisplayName>Nicolai Saethre</DisplayName>
        <AccountId>436</AccountId>
        <AccountType/>
      </UserInfo>
    </SharedWithUsers>
    <TaxCatchAll xmlns="5e099e1a-1e6a-4bdc-8624-f7e9c6c9fbf5" xsi:nil="true"/>
    <lcf76f155ced4ddcb4097134ff3c332f xmlns="333bc73e-c9dc-48db-aced-bf36dbeb2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2C949-AE0C-4136-B2AC-C3B136FD3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99e1a-1e6a-4bdc-8624-f7e9c6c9fbf5"/>
    <ds:schemaRef ds:uri="333bc73e-c9dc-48db-aced-bf36dbeb2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10D28-1D2F-4607-B9E7-463038DA0491}">
  <ds:schemaRefs>
    <ds:schemaRef ds:uri="http://schemas.microsoft.com/PowerBIAddIn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46696087-88b6-475f-a2e1-f7edcacb09c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cc3283a-19f1-4625-8e15-40cec1027735"/>
    <ds:schemaRef ds:uri="http://purl.org/dc/terms/"/>
    <ds:schemaRef ds:uri="5e099e1a-1e6a-4bdc-8624-f7e9c6c9fbf5"/>
    <ds:schemaRef ds:uri="333bc73e-c9dc-48db-aced-bf36dbeb2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Balance sheet</vt:lpstr>
      <vt:lpstr>Cashflow</vt:lpstr>
      <vt:lpstr>Password</vt:lpstr>
      <vt:lpstr>'Balance sheet'!Print_Area</vt:lpstr>
      <vt:lpstr>Cashflow!Print_Area</vt:lpstr>
      <vt:lpstr>'Income statement'!Print_Area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Zula Restivo</cp:lastModifiedBy>
  <cp:revision/>
  <cp:lastPrinted>2022-11-14T15:40:08Z</cp:lastPrinted>
  <dcterms:created xsi:type="dcterms:W3CDTF">2012-05-08T13:41:05Z</dcterms:created>
  <dcterms:modified xsi:type="dcterms:W3CDTF">2024-11-06T19:57:13Z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0x0101005B31FF2BCE666F4494F8BFAEE5D60E0B</vt:lpwstr>
  </property>
  <property fmtid="{D5CDD505-2E9C-101B-9397-08002B2CF9AE}" pid="3" name="MediaServiceImageTags">
    <vt:lpwstr/>
  </property>
</Properties>
</file>